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comments7.xml" ContentType="application/vnd.openxmlformats-officedocument.spreadsheetml.comment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4.xml.rels" ContentType="application/vnd.openxmlformats-package.relationships+xml"/>
  <Override PartName="/xl/worksheets/_rels/sheet7.xml.rels" ContentType="application/vnd.openxmlformats-package.relationships+xml"/>
  <Override PartName="/xl/worksheets/_rels/sheet13.xml.rels" ContentType="application/vnd.openxmlformats-package.relationships+xml"/>
  <Override PartName="/xl/worksheets/_rels/sheet14.xml.rels" ContentType="application/vnd.openxmlformats-package.relationships+xml"/>
  <Override PartName="/xl/worksheets/_rels/sheet9.xml.rels" ContentType="application/vnd.openxmlformats-package.relationships+xml"/>
  <Override PartName="/xl/worksheets/_rels/sheet5.xml.rels" ContentType="application/vnd.openxmlformats-package.relationships+xml"/>
  <Override PartName="/xl/worksheets/sheet11.xml" ContentType="application/vnd.openxmlformats-officedocument.spreadsheetml.worksheet+xml"/>
  <Override PartName="/xl/worksheets/sheet6.xml" ContentType="application/vnd.openxmlformats-officedocument.spreadsheetml.worksheet+xml"/>
  <Override PartName="/xl/worksheets/sheet10.xml" ContentType="application/vnd.openxmlformats-officedocument.spreadsheetml.worksheet+xml"/>
  <Override PartName="/xl/worksheets/sheet5.xml" ContentType="application/vnd.openxmlformats-officedocument.spreadsheetml.worksheet+xml"/>
  <Override PartName="/xl/worksheets/sheet18.xml" ContentType="application/vnd.openxmlformats-officedocument.spreadsheetml.worksheet+xml"/>
  <Override PartName="/xl/worksheets/sheet17.xml" ContentType="application/vnd.openxmlformats-officedocument.spreadsheetml.worksheet+xml"/>
  <Override PartName="/xl/worksheets/sheet16.xml" ContentType="application/vnd.openxmlformats-officedocument.spreadsheetml.worksheet+xml"/>
  <Override PartName="/xl/worksheets/sheet15.xml" ContentType="application/vnd.openxmlformats-officedocument.spreadsheetml.worksheet+xml"/>
  <Override PartName="/xl/worksheets/sheet4.xml" ContentType="application/vnd.openxmlformats-officedocument.spreadsheetml.worksheet+xml"/>
  <Override PartName="/xl/worksheets/sheet1.xml" ContentType="application/vnd.openxmlformats-officedocument.spreadsheetml.worksheet+xml"/>
  <Override PartName="/xl/worksheets/sheet7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9.xml" ContentType="application/vnd.openxmlformats-officedocument.spreadsheetml.worksheet+xml"/>
  <Override PartName="/xl/worksheets/sheet14.xml" ContentType="application/vnd.openxmlformats-officedocument.spreadsheetml.worksheet+xml"/>
  <Override PartName="/xl/worksheets/sheet13.xml" ContentType="application/vnd.openxmlformats-officedocument.spreadsheetml.worksheet+xml"/>
  <Override PartName="/xl/worksheets/sheet8.xml" ContentType="application/vnd.openxmlformats-officedocument.spreadsheetml.worksheet+xml"/>
  <Override PartName="/xl/comments9.xml" ContentType="application/vnd.openxmlformats-officedocument.spreadsheetml.comments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comments4.xml" ContentType="application/vnd.openxmlformats-officedocument.spreadsheetml.comments+xml"/>
  <Override PartName="/xl/drawings/vmlDrawing1.vml" ContentType="application/vnd.openxmlformats-officedocument.vmlDrawing"/>
  <Override PartName="/xl/drawings/vmlDrawing2.vml" ContentType="application/vnd.openxmlformats-officedocument.vmlDrawing"/>
  <Override PartName="/xl/drawings/vmlDrawing3.vml" ContentType="application/vnd.openxmlformats-officedocument.vmlDrawing"/>
  <Override PartName="/xl/drawings/vmlDrawing4.vml" ContentType="application/vnd.openxmlformats-officedocument.vmlDrawing"/>
  <Override PartName="/xl/drawings/vmlDrawing5.vml" ContentType="application/vnd.openxmlformats-officedocument.vmlDrawing"/>
  <Override PartName="/xl/drawings/vmlDrawing6.vml" ContentType="application/vnd.openxmlformats-officedocument.vmlDrawing"/>
  <Override PartName="/xl/comments13.xml" ContentType="application/vnd.openxmlformats-officedocument.spreadsheetml.comments+xml"/>
  <Override PartName="/xl/comments5.xml" ContentType="application/vnd.openxmlformats-officedocument.spreadsheetml.comments+xml"/>
  <Override PartName="/xl/comments14.xml" ContentType="application/vnd.openxmlformats-officedocument.spreadsheetml.comment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Notes" sheetId="1" state="visible" r:id="rId3"/>
    <sheet name="DD Readiness" sheetId="2" state="visible" r:id="rId4"/>
    <sheet name="Assumptions" sheetId="3" state="visible" r:id="rId5"/>
    <sheet name="Sources &amp; Uses" sheetId="4" state="visible" r:id="rId6"/>
    <sheet name="Revenue" sheetId="5" state="visible" r:id="rId7"/>
    <sheet name="Group Consol" sheetId="6" state="visible" r:id="rId8"/>
    <sheet name="P&amp;L" sheetId="7" state="visible" r:id="rId9"/>
    <sheet name="COGS Engine" sheetId="8" state="visible" r:id="rId10"/>
    <sheet name="Cash Flow" sheetId="9" state="visible" r:id="rId11"/>
    <sheet name="AR Collection" sheetId="10" state="visible" r:id="rId12"/>
    <sheet name="Tax Schedule" sheetId="11" state="visible" r:id="rId13"/>
    <sheet name="Receivables" sheetId="12" state="visible" r:id="rId14"/>
    <sheet name="BG Schedule" sheetId="13" state="visible" r:id="rId15"/>
    <sheet name="Debt" sheetId="14" state="visible" r:id="rId16"/>
    <sheet name="Valuation" sheetId="15" state="visible" r:id="rId17"/>
    <sheet name="Competitor (SMPP)" sheetId="16" state="visible" r:id="rId18"/>
    <sheet name="Scenarios" sheetId="17" state="visible" r:id="rId19"/>
    <sheet name="Upside 7-Stream" sheetId="18" state="visible" r:id="rId20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mments4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B5" authorId="0">
      <text>
        <r>
          <rPr>
            <sz val="10"/>
            <rFont val="Arial"/>
            <family val="2"/>
          </rPr>
          <t xml:space="preserve">FY27 capex less $200k ceramic advance already paid</t>
        </r>
      </text>
    </comment>
    <comment ref="B6" authorId="0">
      <text>
        <r>
          <rPr>
            <sz val="10"/>
            <rFont val="Arial"/>
            <family val="2"/>
          </rPr>
          <t xml:space="preserve">Cash absorbed by receivables+inventory+advances less payables in FY27</t>
        </r>
      </text>
    </comment>
    <comment ref="B14" authorId="0">
      <text>
        <r>
          <rPr>
            <sz val="10"/>
            <rFont val="Arial"/>
            <family val="2"/>
          </rPr>
          <t xml:space="preserve">FY27 net operating cash flow (after WC)</t>
        </r>
      </text>
    </comment>
  </commentList>
</comments>
</file>

<file path=xl/comments5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B45" authorId="0">
      <text>
        <r>
          <rPr>
            <sz val="10"/>
            <rFont val="Arial"/>
            <family val="2"/>
          </rPr>
          <t xml:space="preserve">Actual FY27 YTD (DMRL, N.Railway, DGQA)</t>
        </r>
      </text>
    </comment>
    <comment ref="C45" authorId="0">
      <text>
        <r>
          <rPr>
            <sz val="10"/>
            <rFont val="Arial"/>
            <family val="2"/>
          </rPr>
          <t xml:space="preserve">May 2026 actual billing per Naman</t>
        </r>
      </text>
    </comment>
  </commentList>
</comments>
</file>

<file path=xl/comments7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A19" authorId="0">
      <text>
        <r>
          <rPr>
            <sz val="10"/>
            <rFont val="Arial"/>
            <family val="2"/>
          </rPr>
          <t xml:space="preserve">FY24/FY25: Hardcoded to audited actual tax (pre-115BAB, ~16-23% effective rate).
FY26+: Formula-driven at 17.16% (Sec 115BAB elected).</t>
        </r>
      </text>
    </comment>
    <comment ref="B6" authorId="0">
      <text>
        <r>
          <rPr>
            <sz val="10"/>
            <rFont val="Arial"/>
            <family val="2"/>
          </rPr>
          <t xml:space="preserve">Audited FY24-25 report, Note 21 (Rs in Hundreds converted)</t>
        </r>
      </text>
    </comment>
    <comment ref="B8" authorId="0">
      <text>
        <r>
          <rPr>
            <sz val="10"/>
            <rFont val="Arial"/>
            <family val="2"/>
          </rPr>
          <t xml:space="preserve">FY24 direct portion of other expenses (approx)</t>
        </r>
      </text>
    </comment>
    <comment ref="B11" authorId="0">
      <text>
        <r>
          <rPr>
            <sz val="10"/>
            <rFont val="Arial"/>
            <family val="2"/>
          </rPr>
          <t xml:space="preserve">FY24 admin portion of other expenses (approx)</t>
        </r>
      </text>
    </comment>
    <comment ref="B18" authorId="0">
      <text>
        <r>
          <rPr>
            <sz val="10"/>
            <rFont val="Arial"/>
            <family val="2"/>
          </rPr>
          <t xml:space="preserve">FY24 PBT ₹3.14 Cr — audited.</t>
        </r>
      </text>
    </comment>
    <comment ref="B19" authorId="0">
      <text>
        <r>
          <rPr>
            <sz val="10"/>
            <rFont val="Arial"/>
            <family val="2"/>
          </rPr>
          <t xml:space="preserve">FY24 actual tax ₹0.53 Cr (16.9% eff. rate, pre-115BAB). Audited.</t>
        </r>
      </text>
    </comment>
    <comment ref="C6" authorId="0">
      <text>
        <r>
          <rPr>
            <sz val="10"/>
            <rFont val="Arial"/>
            <family val="2"/>
          </rPr>
          <t xml:space="preserve">Audited FY24-25 report, Note 21</t>
        </r>
      </text>
    </comment>
    <comment ref="C8" authorId="0">
      <text>
        <r>
          <rPr>
            <sz val="10"/>
            <rFont val="Arial"/>
            <family val="2"/>
          </rPr>
          <t xml:space="preserve">FY25 direct expenses (Note 27)</t>
        </r>
      </text>
    </comment>
    <comment ref="C10" authorId="0">
      <text>
        <r>
          <rPr>
            <sz val="10"/>
            <rFont val="Arial"/>
            <family val="2"/>
          </rPr>
          <t xml:space="preserve">Audited FY25 Note 24</t>
        </r>
      </text>
    </comment>
    <comment ref="C11" authorId="0">
      <text>
        <r>
          <rPr>
            <sz val="10"/>
            <rFont val="Arial"/>
            <family val="2"/>
          </rPr>
          <t xml:space="preserve">FY25 admin expenses incl ₹1.13 Cr consultancy (Note 27)</t>
        </r>
      </text>
    </comment>
    <comment ref="C14" authorId="0">
      <text>
        <r>
          <rPr>
            <sz val="10"/>
            <rFont val="Arial"/>
            <family val="2"/>
          </rPr>
          <t xml:space="preserve">Audited FY25 Note 26</t>
        </r>
      </text>
    </comment>
    <comment ref="C16" authorId="0">
      <text>
        <r>
          <rPr>
            <sz val="10"/>
            <rFont val="Arial"/>
            <family val="2"/>
          </rPr>
          <t xml:space="preserve">Audited FY25 Note 25</t>
        </r>
      </text>
    </comment>
    <comment ref="C17" authorId="0">
      <text>
        <r>
          <rPr>
            <sz val="10"/>
            <rFont val="Arial"/>
            <family val="2"/>
          </rPr>
          <t xml:space="preserve">FY25 ₹0.60 Cr: FD/MF interest. Reconciles EBIT ₹6.45 + 0.60 - Finance 0.43 = PBT ₹6.62 Cr (audited).</t>
        </r>
      </text>
    </comment>
    <comment ref="C18" authorId="0">
      <text>
        <r>
          <rPr>
            <sz val="10"/>
            <rFont val="Arial"/>
            <family val="2"/>
          </rPr>
          <t xml:space="preserve">FY25 PBT ₹6.62 Cr — signed/authoritative (Rajat Agrawal &amp; Co, 07-Sep-2025).</t>
        </r>
      </text>
    </comment>
    <comment ref="C19" authorId="0">
      <text>
        <r>
          <rPr>
            <sz val="10"/>
            <rFont val="Arial"/>
            <family val="2"/>
          </rPr>
          <t xml:space="preserve">FY25 tax ₹1.55 Cr audited. Eff rate 23.4% — pre-115BAB election.</t>
        </r>
      </text>
    </comment>
    <comment ref="C20" authorId="0">
      <text>
        <r>
          <rPr>
            <sz val="10"/>
            <rFont val="Arial"/>
            <family val="2"/>
          </rPr>
          <t xml:space="preserve">FY25 PAT ₹5.07 Cr — audited (Rajat Agrawal &amp; Co, 07-Sep-2025).</t>
        </r>
      </text>
    </comment>
    <comment ref="D6" authorId="0">
      <text>
        <r>
          <rPr>
            <sz val="10"/>
            <rFont val="Arial"/>
            <family val="2"/>
          </rPr>
          <t xml:space="preserve">FY26 actual — invoice-verified order book summary</t>
        </r>
      </text>
    </comment>
    <comment ref="D7" authorId="0">
      <text>
        <r>
          <rPr>
            <sz val="10"/>
            <rFont val="Arial"/>
            <family val="2"/>
          </rPr>
          <t xml:space="preserve">FY26 provisional @ 33% (FY25 audited level)</t>
        </r>
      </text>
    </comment>
    <comment ref="D10" authorId="0">
      <text>
        <r>
          <rPr>
            <sz val="10"/>
            <rFont val="Arial"/>
            <family val="2"/>
          </rPr>
          <t xml:space="preserve">FY26 actual employee cost ₹1.65 Cr (mid of ₹1.5-1.8 Cr range; smaller team in FY26 vs current 35 employees). Confirmed by Naman.</t>
        </r>
      </text>
    </comment>
    <comment ref="D11" authorId="0">
      <text>
        <r>
          <rPr>
            <sz val="10"/>
            <rFont val="Arial"/>
            <family val="2"/>
          </rPr>
          <t xml:space="preserve">FY26 actual SG&amp;A/overheads ₹2.00 Cr. Confirmed by Naman (was ₹3 Cr model estimate).</t>
        </r>
      </text>
    </comment>
    <comment ref="D14" authorId="0">
      <text>
        <r>
          <rPr>
            <sz val="10"/>
            <rFont val="Arial"/>
            <family val="2"/>
          </rPr>
          <t xml:space="preserve">Existing asset base depreciation</t>
        </r>
      </text>
    </comment>
    <comment ref="D17" authorId="0">
      <text>
        <r>
          <rPr>
            <sz val="10"/>
            <rFont val="Arial"/>
            <family val="2"/>
          </rPr>
          <t xml:space="preserve">FY26 Other income ₹0.40 Cr (&lt;₹40 lakhs) per management. FY26 PBT ₹27 Cr is hardcoded management actual — gap of ₹2.76 Cr vs EBITDA-derived chain reflects items not in projection model (to be confirmed by Tier-2 audit).</t>
        </r>
      </text>
    </comment>
    <comment ref="D18" authorId="0">
      <text>
        <r>
          <rPr>
            <sz val="10"/>
            <rFont val="Arial"/>
            <family val="2"/>
          </rPr>
          <t xml:space="preserve">FY26 PBT ₹27 Cr — management actual (provisional, audit pending).
EBITDA model now correctly gives ₹27.72 Cr (employee ₹1.65 Cr actual, SG&amp;A ₹2 Cr actual).
Derived PBT = EBIT ₹27.22 + OI ₹0.40 - Finance ₹0.03 = ₹27.59 Cr.
₹0.59 Cr rounding/minor items only. Confirmed by Naman Agrawal.</t>
        </r>
      </text>
    </comment>
    <comment ref="E7" authorId="0">
      <text>
        <r>
          <rPr>
            <sz val="10"/>
            <rFont val="Arial"/>
            <family val="2"/>
          </rPr>
          <t xml:space="preserve">FY27 material from COGS Engine blended COGS (IAF &amp; clause inside ₹93.82 book)</t>
        </r>
      </text>
    </comment>
  </commentList>
</comments>
</file>

<file path=xl/comments9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C28" authorId="0">
      <text>
        <r>
          <rPr>
            <sz val="10"/>
            <rFont val="Arial"/>
            <family val="2"/>
          </rPr>
          <t xml:space="preserve">Rs 3.47 Cr received in bank, not yet booked; real cash already in</t>
        </r>
      </text>
    </comment>
  </commentList>
</comments>
</file>

<file path=xl/comments13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B7" authorId="0">
      <text>
        <r>
          <rPr>
            <sz val="10"/>
            <rFont val="Arial"/>
            <family val="2"/>
          </rPr>
          <t xml:space="preserve">Current FD-backed BGs/EMD from deposits register, 30-May-2026</t>
        </r>
      </text>
    </comment>
  </commentList>
</comments>
</file>

<file path=xl/comments14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C8" authorId="0">
      <text>
        <r>
          <rPr>
            <sz val="10"/>
            <rFont val="Arial"/>
            <family val="2"/>
          </rPr>
          <t xml:space="preserve">Half-year interest in drawdown year</t>
        </r>
      </text>
    </comment>
  </commentList>
</comments>
</file>

<file path=xl/sharedStrings.xml><?xml version="1.0" encoding="utf-8"?>
<sst xmlns="http://schemas.openxmlformats.org/spreadsheetml/2006/main" count="855" uniqueCount="747">
  <si>
    <t xml:space="preserve">PRAGATI DEFENCE SYSTEMS PRIVATE LIMITED</t>
  </si>
  <si>
    <t xml:space="preserve">Investor Financial Model &amp; Projections — FY26–FY31</t>
  </si>
  <si>
    <t xml:space="preserve">Confidential · For investor use only · Built May 2026</t>
  </si>
  <si>
    <t xml:space="preserve">STATUS OF INPUTS</t>
  </si>
  <si>
    <t xml:space="preserve">Audited &amp; locked</t>
  </si>
  <si>
    <t xml:space="preserve">FY24 &amp; FY25 P&amp;L and FY25 balance sheet — from signed audit report (Rajat Agrawal &amp; Co., 07-Sep-2025).</t>
  </si>
  <si>
    <t xml:space="preserve">Actual (invoice-verified)</t>
  </si>
  <si>
    <t xml:space="preserve">FY26 revenue ₹51.01 Cr — from issued tax invoices / order book summary.</t>
  </si>
  <si>
    <t xml:space="preserve">PROVISIONAL — replace</t>
  </si>
  <si>
    <t xml:space="preserve">FY26 PAT &amp; FY26 closing balance sheet — estimated here; provisional BS due in 2-3 days.</t>
  </si>
  <si>
    <t xml:space="preserve">KEY ASSUMPTION — confirm</t>
  </si>
  <si>
    <t xml:space="preserve">Raw-material cost % by product (Ayush). Drives all margins. Currently a blended placeholder.</t>
  </si>
  <si>
    <t xml:space="preserve">Management base case</t>
  </si>
  <si>
    <t xml:space="preserve">FY27 revenue target ₹120 Cr (set by management). FY28-31 growth rates are editable inputs.</t>
  </si>
  <si>
    <t xml:space="preserve">COLOUR KEY (industry standard)</t>
  </si>
  <si>
    <t xml:space="preserve">Blue text</t>
  </si>
  <si>
    <t xml:space="preserve">Hardcoded input / assumption you can change</t>
  </si>
  <si>
    <t xml:space="preserve">Black text</t>
  </si>
  <si>
    <t xml:space="preserve">Formula / calculation</t>
  </si>
  <si>
    <t xml:space="preserve">Green text</t>
  </si>
  <si>
    <t xml:space="preserve">Link from another sheet</t>
  </si>
  <si>
    <t xml:space="preserve">Yellow fill</t>
  </si>
  <si>
    <t xml:space="preserve">Provisional / needs attention — replace with actual when available</t>
  </si>
  <si>
    <t xml:space="preserve">HOW TO USE</t>
  </si>
  <si>
    <t xml:space="preserve">1. Set the scenario in Assumptions!B3  (1 = Base · 2 = MoD mega-tender win · 3 = Conservative).</t>
  </si>
  <si>
    <t xml:space="preserve">2. All blue cells are editable. Overwrite yellow cells when audited / actual data arrives.</t>
  </si>
  <si>
    <t xml:space="preserve">3. Tabs: Assumptions → Revenue → P&amp;L → Cash Flow → Debt → Scenarios.</t>
  </si>
  <si>
    <t xml:space="preserve">4. After editing, recalculate (the workbook is live-formula, not hardcoded values).</t>
  </si>
  <si>
    <t xml:space="preserve">KEY CFO FLAGS</t>
  </si>
  <si>
    <t xml:space="preserve">• Audited FY25 PAT ₹5.07 Cr — 34% BELOW the dropped CA estimate (₹7.64 Cr). FY26/FY27 CA estimates ignored.</t>
  </si>
  <si>
    <t xml:space="preserve">• FY25 operating cash flow was NEGATIVE ₹0.73 Cr despite ₹5.07 Cr profit — working capital is the real risk.</t>
  </si>
  <si>
    <t xml:space="preserve">• Margins compress as mix shifts from niche (FY25 ~29% net) to volume BPJ tenders. Material % is the swing factor.</t>
  </si>
  <si>
    <t xml:space="preserve">• ₹30 Cr raise = ₹20 Cr SIDBI debt + ₹10 Cr equity. CCD ₹14.70 Cr treated as quasi-equity (converts at ₹360 Cr floor).</t>
  </si>
  <si>
    <t xml:space="preserve">DD / AUDIT READINESS TRACKER — ₹70 Cr ROUND</t>
  </si>
  <si>
    <t xml:space="preserve">Mirrors the Audit Readiness Gap Analysis (30-May-26). Critical path = MW-1, MW-3, SD-1.</t>
  </si>
  <si>
    <t xml:space="preserve">Ref</t>
  </si>
  <si>
    <t xml:space="preserve">Item</t>
  </si>
  <si>
    <t xml:space="preserve">Owner</t>
  </si>
  <si>
    <t xml:space="preserve">Deadline</t>
  </si>
  <si>
    <t xml:space="preserve">Status</t>
  </si>
  <si>
    <t xml:space="preserve">MW-1</t>
  </si>
  <si>
    <t xml:space="preserve">Remove the old CA Estimated P&amp;L from all data rooms (superseded by audited figures)</t>
  </si>
  <si>
    <t xml:space="preserve">Naman+CA</t>
  </si>
  <si>
    <t xml:space="preserve">02-Jun</t>
  </si>
  <si>
    <t xml:space="preserve">URGENT</t>
  </si>
  <si>
    <t xml:space="preserve">MW-2</t>
  </si>
  <si>
    <t xml:space="preserve">Consolidated group financials; PDSOL conversion; Deftech fund-flow</t>
  </si>
  <si>
    <t xml:space="preserve">Naman+CS+CA</t>
  </si>
  <si>
    <t xml:space="preserve">30-Jun</t>
  </si>
  <si>
    <t xml:space="preserve">Open</t>
  </si>
  <si>
    <t xml:space="preserve">MW-3</t>
  </si>
  <si>
    <t xml:space="preserve">Engage Tier-2 auditor (GT/ASA/Nangia/WC) — restate FY25, audit FY26</t>
  </si>
  <si>
    <t xml:space="preserve">Naman</t>
  </si>
  <si>
    <t xml:space="preserve">14-Jun</t>
  </si>
  <si>
    <t xml:space="preserve">MW-4</t>
  </si>
  <si>
    <t xml:space="preserve">Gratuity actuarial valuation (AS-15) — ~₹15-20L, low priority</t>
  </si>
  <si>
    <t xml:space="preserve">CA+HR</t>
  </si>
  <si>
    <t xml:space="preserve">SD-1</t>
  </si>
  <si>
    <t xml:space="preserve">Interim DD-support CFO (₹3-5L/mo); Rajesh full-time before close</t>
  </si>
  <si>
    <t xml:space="preserve">SD-2</t>
  </si>
  <si>
    <t xml:space="preserve">Reconcile pitch (₹30Cr) to model (₹70Cr); SIDBI as revolving WC/discount line</t>
  </si>
  <si>
    <t xml:space="preserve">Naman+CFO</t>
  </si>
  <si>
    <t xml:space="preserve">Next call</t>
  </si>
  <si>
    <t xml:space="preserve">In progress</t>
  </si>
  <si>
    <t xml:space="preserve">SD-3</t>
  </si>
  <si>
    <t xml:space="preserve">RPT schedule FY24-26 (Naman Rubber, inter-entity); promoter comp normalise</t>
  </si>
  <si>
    <t xml:space="preserve">CA+CS</t>
  </si>
  <si>
    <t xml:space="preserve">SD-4</t>
  </si>
  <si>
    <t xml:space="preserve">IFC/ICFR framework (post-raise thresholds breached)</t>
  </si>
  <si>
    <t xml:space="preserve">CFO+auditor</t>
  </si>
  <si>
    <t xml:space="preserve">Close</t>
  </si>
  <si>
    <t xml:space="preserve">SD-5</t>
  </si>
  <si>
    <t xml:space="preserve">Third-party balance confirmations — start with AFSOD ₹19.96Cr</t>
  </si>
  <si>
    <t xml:space="preserve">Finance+auditor</t>
  </si>
  <si>
    <t xml:space="preserve">SD-6</t>
  </si>
  <si>
    <t xml:space="preserve">Revenue recognition policy → Ind AS 115 5-step</t>
  </si>
  <si>
    <t xml:space="preserve">SD-7</t>
  </si>
  <si>
    <t xml:space="preserve">115BAB substantiation — Form 10-IC + ITR ack in data room</t>
  </si>
  <si>
    <t xml:space="preserve">CA</t>
  </si>
  <si>
    <t xml:space="preserve">06-Jun</t>
  </si>
  <si>
    <t xml:space="preserve">SD-8</t>
  </si>
  <si>
    <t xml:space="preserve">PDSOL 100% subsidiary conversion close + ROC filing</t>
  </si>
  <si>
    <t xml:space="preserve">CS+Naman</t>
  </si>
  <si>
    <t xml:space="preserve">21-Jun</t>
  </si>
  <si>
    <t xml:space="preserve">D-5</t>
  </si>
  <si>
    <t xml:space="preserve">Induct Naman to Board; plan 1 independent director seat</t>
  </si>
  <si>
    <t xml:space="preserve">Before TS</t>
  </si>
  <si>
    <t xml:space="preserve">D-6</t>
  </si>
  <si>
    <t xml:space="preserve">Cap table + 4,04,386 share allotment trail + 56(2)(viib)/11UA</t>
  </si>
  <si>
    <t xml:space="preserve">CS+CA</t>
  </si>
  <si>
    <t xml:space="preserve">D-8</t>
  </si>
  <si>
    <t xml:space="preserve">BlackLine PNG export — BRC/FEMA/IEC documentation</t>
  </si>
  <si>
    <t xml:space="preserve">CA+Naman</t>
  </si>
  <si>
    <t xml:space="preserve">AR</t>
  </si>
  <si>
    <t xml:space="preserve">Rajesh to re-run CLEAN dated AR ageing from Tally (current ledger stale)</t>
  </si>
  <si>
    <t xml:space="preserve">Rajesh</t>
  </si>
  <si>
    <t xml:space="preserve">ASAP</t>
  </si>
  <si>
    <t xml:space="preserve">DATA</t>
  </si>
  <si>
    <t xml:space="preserve">FY26 provisional BS + RM% by product (Ayush) → unlock model lock-down</t>
  </si>
  <si>
    <t xml:space="preserve">CA+Ayush</t>
  </si>
  <si>
    <t xml:space="preserve">04-Jun</t>
  </si>
  <si>
    <t xml:space="preserve">Pending</t>
  </si>
  <si>
    <t xml:space="preserve">Critical path: (1) kill Estimated P&amp;L today, (2) sign Tier-2 auditor, (3) interim CFO. Everything else flows from these three.</t>
  </si>
  <si>
    <t xml:space="preserve">ASSUMPTIONS &amp; DRIVERS  (₹ Cr unless stated)</t>
  </si>
  <si>
    <t xml:space="preserve">SCENARIO SELECTOR (1=Base, 2=MoD Win, 3=Conservative)</t>
  </si>
  <si>
    <t xml:space="preserve">1=Base / 2=Upside / 3=Downside</t>
  </si>
  <si>
    <t xml:space="preserve">Active scenario</t>
  </si>
  <si>
    <t xml:space="preserve">Driver</t>
  </si>
  <si>
    <t xml:space="preserve">Base</t>
  </si>
  <si>
    <t xml:space="preserve">MoD Win</t>
  </si>
  <si>
    <t xml:space="preserve">Conserv.</t>
  </si>
  <si>
    <t xml:space="preserve">ACTIVE</t>
  </si>
  <si>
    <t xml:space="preserve">Source / note</t>
  </si>
  <si>
    <t xml:space="preserve">FY27 REVENUE BY STREAM (₹ Cr)</t>
  </si>
  <si>
    <t xml:space="preserve">   Finished Armour (jackets, vests, helmets, shields)</t>
  </si>
  <si>
    <t xml:space="preserve">Carries the ₹93.82 Cr order book + L1 conversions</t>
  </si>
  <si>
    <t xml:space="preserve">   UHMWPE (Pragati Defence Solutions)</t>
  </si>
  <si>
    <t xml:space="preserve">H2-weighted; gated on state electricity connection</t>
  </si>
  <si>
    <t xml:space="preserve">   Ceramic (Pragati Deftech)</t>
  </si>
  <si>
    <t xml:space="preserve">H2-weighted; gated on line commissioning</t>
  </si>
  <si>
    <t xml:space="preserve">   MoD mega-tender tranche (4,83,146 BPJ sanction)</t>
  </si>
  <si>
    <t xml:space="preserve">FY27 delivery slice only; full tender ₹1,932-2,174 Cr multi-year</t>
  </si>
  <si>
    <t xml:space="preserve">   FY27 TOTAL REVENUE</t>
  </si>
  <si>
    <t xml:space="preserve">GROWTH RATES — applied to each stream</t>
  </si>
  <si>
    <t xml:space="preserve">   FY28 growth %</t>
  </si>
  <si>
    <t xml:space="preserve">vs deck implied; editable</t>
  </si>
  <si>
    <t xml:space="preserve">   FY29 growth %</t>
  </si>
  <si>
    <t xml:space="preserve">   FY30 growth %</t>
  </si>
  <si>
    <t xml:space="preserve">   FY31 growth %</t>
  </si>
  <si>
    <t xml:space="preserve">COST DRIVERS</t>
  </si>
  <si>
    <t xml:space="preserve">   Material cost % of revenue</t>
  </si>
  <si>
    <t xml:space="preserve">FY27 now driven by COGS Engine (mix-weighted). FY28-31 use these % as mix shifts to volume.</t>
  </si>
  <si>
    <t xml:space="preserve">   Direct expenses % of revenue (freight, duty, testing, stitching)</t>
  </si>
  <si>
    <t xml:space="preserve">FY25 audited ~5.4%</t>
  </si>
  <si>
    <t xml:space="preserve">   Employee cost — FY27 (₹ Cr)</t>
  </si>
  <si>
    <t xml:space="preserve">Real: 35 emp ₹15.24L/mo CTC + Rajesh ₹1.5L + buffer. ₹2.67Cr actual, ₹3.75Cr w/ headroom.</t>
  </si>
  <si>
    <t xml:space="preserve">   Employee cost growth % p.a.</t>
  </si>
  <si>
    <t xml:space="preserve">   SG&amp;A fixed — FY27 (₹ Cr)</t>
  </si>
  <si>
    <t xml:space="preserve">FY25 admin ~₹2.2 Cr incl ₹1.13 Cr consultancy</t>
  </si>
  <si>
    <t xml:space="preserve">   SG&amp;A variable % of revenue</t>
  </si>
  <si>
    <t xml:space="preserve">   Depreciation rate on new capex %</t>
  </si>
  <si>
    <t xml:space="preserve">Blended SLM proxy</t>
  </si>
  <si>
    <t xml:space="preserve">   Tax rate %</t>
  </si>
  <si>
    <t xml:space="preserve">115BAB concessional 15% + surcharge/cess = ~17.16% effective</t>
  </si>
  <si>
    <t xml:space="preserve">WORKING CAPITAL</t>
  </si>
  <si>
    <t xml:space="preserve">   Receivable days (DSO)</t>
  </si>
  <si>
    <t xml:space="preserve">Collection 120d base (Naman). Stress 140d / optimistic 100d.</t>
  </si>
  <si>
    <t xml:space="preserve">   Inventory days (on COGS)</t>
  </si>
  <si>
    <t xml:space="preserve">60d procurement/transport + 30d production = 90d on COGS</t>
  </si>
  <si>
    <t xml:space="preserve">   Payable days</t>
  </si>
  <si>
    <t xml:space="preserve">Minimal supplier credit (you prepay)</t>
  </si>
  <si>
    <t xml:space="preserve">   Supplier advances % of material</t>
  </si>
  <si>
    <t xml:space="preserve">FY25 advances ₹5.05 Cr (~89% of material) — major cash drag</t>
  </si>
  <si>
    <t xml:space="preserve">CAPEX (₹ Cr)</t>
  </si>
  <si>
    <t xml:space="preserve">   Ceramic manufacturing line — FY27</t>
  </si>
  <si>
    <t xml:space="preserve">Use of funds; $200k advance already paid from Deftech</t>
  </si>
  <si>
    <t xml:space="preserve">   UHMWPE additional — FY27</t>
  </si>
  <si>
    <t xml:space="preserve">₹3.77 Cr already spent in Solutions; this is incremental</t>
  </si>
  <si>
    <t xml:space="preserve">   Ballistic production scale-up — FY27</t>
  </si>
  <si>
    <t xml:space="preserve">Use of funds</t>
  </si>
  <si>
    <t xml:space="preserve">   Maintenance capex % of revenue (FY28+)</t>
  </si>
  <si>
    <t xml:space="preserve">FUNDRAISE &amp; DEBT</t>
  </si>
  <si>
    <t xml:space="preserve">   Equity raise — FY27 (₹ Cr)</t>
  </si>
  <si>
    <t xml:space="preserve">Superseded by row 60 (Equity ₹50 Cr group). See Sources &amp; Uses.</t>
  </si>
  <si>
    <t xml:space="preserve">   SIDBI term loan — FY27 (₹ Cr)</t>
  </si>
  <si>
    <t xml:space="preserve">Superseded by row 61 (SIDBI ₹20 Cr group). See Sources &amp; Uses.</t>
  </si>
  <si>
    <t xml:space="preserve">   SIDBI interest rate %</t>
  </si>
  <si>
    <t xml:space="preserve">PLACEHOLDER — confirm term sheet. Existing bank debt @10.8%</t>
  </si>
  <si>
    <t xml:space="preserve">   SIDBI moratorium (years)</t>
  </si>
  <si>
    <t xml:space="preserve">Interest-only in year 1</t>
  </si>
  <si>
    <t xml:space="preserve">   SIDBI tenor (years)</t>
  </si>
  <si>
    <t xml:space="preserve">   Existing bank debt @ FY25 close (₹ Cr)</t>
  </si>
  <si>
    <t xml:space="preserve">Audited; @10.8%; runs off</t>
  </si>
  <si>
    <t xml:space="preserve">   CCD amount (₹ Cr)</t>
  </si>
  <si>
    <t xml:space="preserve">2,94,000 CCDs @ ₹500; quasi-equity; ₹360 Cr floor</t>
  </si>
  <si>
    <t xml:space="preserve">FY25 AUDITED CLOSING POSITION (opening for FY26)</t>
  </si>
  <si>
    <t xml:space="preserve">   Trade receivables</t>
  </si>
  <si>
    <t xml:space="preserve">Audited FY25 (Note 17)</t>
  </si>
  <si>
    <t xml:space="preserve">   Inventory</t>
  </si>
  <si>
    <t xml:space="preserve">Audited FY25 (Note 16)</t>
  </si>
  <si>
    <t xml:space="preserve">   Supplier advances</t>
  </si>
  <si>
    <t xml:space="preserve">Audited FY25 (Note 19)</t>
  </si>
  <si>
    <t xml:space="preserve">   Trade payables</t>
  </si>
  <si>
    <t xml:space="preserve">Audited FY25 (Note 6)</t>
  </si>
  <si>
    <t xml:space="preserve">   Cash + liquid mutual funds</t>
  </si>
  <si>
    <t xml:space="preserve">Cash ₹2.53 + MF ₹11.30 Cr (Notes 15,18)</t>
  </si>
  <si>
    <t xml:space="preserve">   Net worth</t>
  </si>
  <si>
    <t xml:space="preserve">Share cap ₹0.50 + reserves ₹11.71 Cr</t>
  </si>
  <si>
    <t xml:space="preserve">RAISE &amp; GROUP INPUTS (₹ Cr)</t>
  </si>
  <si>
    <t xml:space="preserve">   Equity raise (₹ Cr)</t>
  </si>
  <si>
    <t xml:space="preserve">PRIMARY only (row 66). OFS does not fund the company.</t>
  </si>
  <si>
    <t xml:space="preserve">   Debt raise — SIDBI WC facility (₹ Cr)</t>
  </si>
  <si>
    <t xml:space="preserve">This round — working-capital/BG facility</t>
  </si>
  <si>
    <t xml:space="preserve">   BG / margin money as % of revenue</t>
  </si>
  <si>
    <t xml:space="preserve">User input: 5% of forecast revenue locked in FD-backed BGs</t>
  </si>
  <si>
    <t xml:space="preserve">   USD/INR rate</t>
  </si>
  <si>
    <t xml:space="preserve">For imported machinery/tech</t>
  </si>
  <si>
    <t xml:space="preserve">   Pre-money valuation (₹ Cr)</t>
  </si>
  <si>
    <t xml:space="preserve">Floor — not below ₹500 Cr</t>
  </si>
  <si>
    <t xml:space="preserve">   FY26 closing cash+MF — opening FY27 (₹ Cr)</t>
  </si>
  <si>
    <t xml:space="preserve">PLACEHOLDER — replace with FY26 provisional BS</t>
  </si>
  <si>
    <t xml:space="preserve">   Equity — PRIMARY (into company)</t>
  </si>
  <si>
    <t xml:space="preserve">Range ₹38-40 Cr; funds capex + WC</t>
  </si>
  <si>
    <t xml:space="preserve">   Equity — OFS (to promoters, NOT company)</t>
  </si>
  <si>
    <t xml:space="preserve">Range ₹10-12 Cr; promoter liquidity — excluded from project/SIDBI uses</t>
  </si>
  <si>
    <t xml:space="preserve">   Total equity (primary + OFS)</t>
  </si>
  <si>
    <t xml:space="preserve">CASH CONVERSION CYCLE (days)</t>
  </si>
  <si>
    <t xml:space="preserve">   Procurement + transport</t>
  </si>
  <si>
    <t xml:space="preserve">RM import/move before production</t>
  </si>
  <si>
    <t xml:space="preserve">   Production</t>
  </si>
  <si>
    <t xml:space="preserve">   Collection (avg; stress 120)</t>
  </si>
  <si>
    <t xml:space="preserve">120d base per Naman (net cycle 195d)</t>
  </si>
  <si>
    <t xml:space="preserve">   Less: supplier credit</t>
  </si>
  <si>
    <t xml:space="preserve">   NET CASH CYCLE (days)</t>
  </si>
  <si>
    <t xml:space="preserve">   WC at run-rate (FY27 rev x cycle/365)</t>
  </si>
  <si>
    <t xml:space="preserve">   Stress: WC at 120d collection (195d cycle)</t>
  </si>
  <si>
    <t xml:space="preserve">   Minimum cash floor (defend)</t>
  </si>
  <si>
    <t xml:space="preserve">Sleep-at-night floor ₹8-10Cr; midpoint 9</t>
  </si>
  <si>
    <t xml:space="preserve">AUTHORITATIVE INPUTS — AUDITED ONLY</t>
  </si>
  <si>
    <t xml:space="preserve">   FY24 audited revenue</t>
  </si>
  <si>
    <t xml:space="preserve">Rajat Agrawal &amp; Co, 07-Sep-2025</t>
  </si>
  <si>
    <t xml:space="preserve">   FY25 audited revenue</t>
  </si>
  <si>
    <t xml:space="preserve">Same auditor</t>
  </si>
  <si>
    <t xml:space="preserve">   FY25 audited PBT</t>
  </si>
  <si>
    <t xml:space="preserve">Signed/authoritative</t>
  </si>
  <si>
    <t xml:space="preserve">   FY25 audited PAT</t>
  </si>
  <si>
    <t xml:space="preserve">   FY26 prov. revenue</t>
  </si>
  <si>
    <t xml:space="preserve">Invoice-verified</t>
  </si>
  <si>
    <t xml:space="preserve">   FY26 mgmt PBT</t>
  </si>
  <si>
    <t xml:space="preserve">Provisional, audit pending</t>
  </si>
  <si>
    <t xml:space="preserve">   FY26 PAT @ 17.16%</t>
  </si>
  <si>
    <t xml:space="preserve">115BAB</t>
  </si>
  <si>
    <t xml:space="preserve">   Identified FY27 book</t>
  </si>
  <si>
    <t xml:space="preserve">OrderBook v4 doc</t>
  </si>
  <si>
    <t xml:space="preserve">   FY27 anchor</t>
  </si>
  <si>
    <t xml:space="preserve">Order book + pipeline</t>
  </si>
  <si>
    <t xml:space="preserve">   FY27 Apr actual rev</t>
  </si>
  <si>
    <t xml:space="preserve">Invoices</t>
  </si>
  <si>
    <t xml:space="preserve">   FY27 May actual rev</t>
  </si>
  <si>
    <t xml:space="preserve">Naman, May 2026</t>
  </si>
  <si>
    <t xml:space="preserve">   Monthly payroll CTC</t>
  </si>
  <si>
    <t xml:space="preserve">35 emp + Rajesh + buffer</t>
  </si>
  <si>
    <t xml:space="preserve">   FY27 employee cost</t>
  </si>
  <si>
    <t xml:space="preserve">Mid of ₹3.5-4 Cr</t>
  </si>
  <si>
    <t xml:space="preserve">   Min cash floor</t>
  </si>
  <si>
    <t xml:space="preserve">Sleep-at-night</t>
  </si>
  <si>
    <t xml:space="preserve">   Net cash cycle</t>
  </si>
  <si>
    <t xml:space="preserve">60+30+120-15 days</t>
  </si>
  <si>
    <t xml:space="preserve">   FY26 advance tax outstanding</t>
  </si>
  <si>
    <t xml:space="preserve">PBT 27 × 17.16%</t>
  </si>
  <si>
    <t xml:space="preserve">   Penalty accrued (est)</t>
  </si>
  <si>
    <t xml:space="preserve">234B/234C ~5 months</t>
  </si>
  <si>
    <t xml:space="preserve">   BG at 5% of revenue</t>
  </si>
  <si>
    <t xml:space="preserve">FD-backed</t>
  </si>
  <si>
    <t xml:space="preserve">   Ceramic line balance</t>
  </si>
  <si>
    <t xml:space="preserve">₹18 less ₹1.92 advance</t>
  </si>
  <si>
    <t xml:space="preserve">   UHMWPE completion</t>
  </si>
  <si>
    <t xml:space="preserve">over ₹4.77 spent</t>
  </si>
  <si>
    <t xml:space="preserve">   Ballistic scale-up</t>
  </si>
  <si>
    <t xml:space="preserve">   Total project capex</t>
  </si>
  <si>
    <t xml:space="preserve">   Primary equity (this round)</t>
  </si>
  <si>
    <t xml:space="preserve">Into Company</t>
  </si>
  <si>
    <t xml:space="preserve">   OFS (carved out)</t>
  </si>
  <si>
    <t xml:space="preserve">Promoter liquidity</t>
  </si>
  <si>
    <t xml:space="preserve">   SIDBI debt (revolving)</t>
  </si>
  <si>
    <t xml:space="preserve">   Valuation floor pre-money</t>
  </si>
  <si>
    <t xml:space="preserve">Not below</t>
  </si>
  <si>
    <t xml:space="preserve">SOURCES &amp; USES OF FUNDS — ₹70 Cr ROUND (FY27)</t>
  </si>
  <si>
    <t xml:space="preserve">Phase 0: activates three revenue streams to ₹120 Cr. Naya Raipur campus is Phase 1+ (self-funded, separate plan).</t>
  </si>
  <si>
    <t xml:space="preserve">USES OF CAPITAL — FY27 (₹ Cr)</t>
  </si>
  <si>
    <t xml:space="preserve">₹ Cr</t>
  </si>
  <si>
    <t xml:space="preserve">Capex — plant &amp; equipment (FY27)</t>
  </si>
  <si>
    <t xml:space="preserve">Incremental working capital (FY27 build)</t>
  </si>
  <si>
    <t xml:space="preserve">Gross capital deployed in FY27</t>
  </si>
  <si>
    <t xml:space="preserve">Less: FY27 operating profit (PAT + depreciation)</t>
  </si>
  <si>
    <t xml:space="preserve">NET EXTERNAL FUNDING NEED (FY27)</t>
  </si>
  <si>
    <t xml:space="preserve">SOURCES — THIS ROUND (₹ Cr)</t>
  </si>
  <si>
    <t xml:space="preserve">Equity (permanent capital — capex + WC base + team)</t>
  </si>
  <si>
    <t xml:space="preserve">Debt — SIDBI working-capital / BG facility</t>
  </si>
  <si>
    <t xml:space="preserve">Total raise</t>
  </si>
  <si>
    <t xml:space="preserve">SURPLUS / (SHORTFALL) vs FY27 need</t>
  </si>
  <si>
    <t xml:space="preserve">MEMO — cash position (₹ Cr)</t>
  </si>
  <si>
    <t xml:space="preserve">FY27 closing cash (from Cash Flow)</t>
  </si>
  <si>
    <t xml:space="preserve">   of which restricted in BG margin money</t>
  </si>
  <si>
    <t xml:space="preserve">   free / unrestricted cash</t>
  </si>
  <si>
    <t xml:space="preserve">Reads: FY27 capex + working-capital build, less operating profit = external need. ₹70 Cr covers it; surplus flows to the cash buffer.</t>
  </si>
  <si>
    <t xml:space="preserve">Naya Raipur campus (~₹85-105 Cr) is NOT in this round — Phase 1+ FY28-30, self-funded. Separate plan.</t>
  </si>
  <si>
    <t xml:space="preserve">USABLE CAPITAL CHECK (Primary + Debt)</t>
  </si>
  <si>
    <t xml:space="preserve">Equity — primary (into company)</t>
  </si>
  <si>
    <t xml:space="preserve">Debt — SIDBI</t>
  </si>
  <si>
    <t xml:space="preserve">Usable company capital</t>
  </si>
  <si>
    <t xml:space="preserve">Less: FY27 net external funding need</t>
  </si>
  <si>
    <t xml:space="preserve">NET BUFFER (usable capital vs need)</t>
  </si>
  <si>
    <t xml:space="preserve">Memo: OFS ₹11 Cr (range 10-12) = promoter liquidity. Does NOT fund the company and is EXCLUDED from SIDBI project cost.</t>
  </si>
  <si>
    <t xml:space="preserve">Thin buffer is driven by OFS. Full ₹50 Cr primary would lift buffer to ~₹18 Cr. Trade-off: founder liquidity vs cash cushion.</t>
  </si>
  <si>
    <t xml:space="preserve">REVENUE — STREAM-BY-STREAM, 3 SCENARIOS  (₹ Cr)</t>
  </si>
  <si>
    <t xml:space="preserve">FY27 anchored to ₹120 Cr identified order book (₹93.82 Cr book + pipeline). Three scenarios diverge from FY28.</t>
  </si>
  <si>
    <t xml:space="preserve">Switch scenarios on Assumptions tab (B3): 1=Base / 2=Upside / 3=Downside.</t>
  </si>
  <si>
    <t xml:space="preserve">Stream / line</t>
  </si>
  <si>
    <t xml:space="preserve">FY24A</t>
  </si>
  <si>
    <t xml:space="preserve">FY25A</t>
  </si>
  <si>
    <t xml:space="preserve">FY26P</t>
  </si>
  <si>
    <t xml:space="preserve">FY27</t>
  </si>
  <si>
    <t xml:space="preserve">FY28</t>
  </si>
  <si>
    <t xml:space="preserve">FY29</t>
  </si>
  <si>
    <t xml:space="preserve">FY30</t>
  </si>
  <si>
    <t xml:space="preserve">FY31</t>
  </si>
  <si>
    <t xml:space="preserve">HISTORICALS (audited &amp; provisional)</t>
  </si>
  <si>
    <t xml:space="preserve">   Total revenue</t>
  </si>
  <si>
    <t xml:space="preserve">FY24/25 audited Rajat Agrawal &amp; Co; FY26 mgmt provisional</t>
  </si>
  <si>
    <t xml:space="preserve">BASE CASE</t>
  </si>
  <si>
    <t xml:space="preserve">   Armour (jackets/helmets/shields)</t>
  </si>
  <si>
    <t xml:space="preserve">₹93.82 Cr book + pipeline; armour spine</t>
  </si>
  <si>
    <t xml:space="preserve">   Ceramics (Deftech, external)</t>
  </si>
  <si>
    <t xml:space="preserve">L6 monopoly; external sales (excl. internal to PDS)</t>
  </si>
  <si>
    <t xml:space="preserve">   UHMWPE (Solutions, external)</t>
  </si>
  <si>
    <t xml:space="preserve">External fabric sales; standalone ~₹100 Cr by FY31 incl. internal</t>
  </si>
  <si>
    <t xml:space="preserve">   Vehicle / platform armour</t>
  </si>
  <si>
    <t xml:space="preserve">Mehler + N.Command enquiry</t>
  </si>
  <si>
    <t xml:space="preserve">   Exports</t>
  </si>
  <si>
    <t xml:space="preserve">6 channel-partner POs ramping</t>
  </si>
  <si>
    <t xml:space="preserve">   Smart helmet (DYSL)</t>
  </si>
  <si>
    <t xml:space="preserve">FY28 first revenue ₹3 Cr; significant FY31</t>
  </si>
  <si>
    <t xml:space="preserve">   Composites / aerospace</t>
  </si>
  <si>
    <t xml:space="preserve">Campus-gated; modest in base</t>
  </si>
  <si>
    <t xml:space="preserve">   TOTAL — BASE CASE</t>
  </si>
  <si>
    <t xml:space="preserve">UPSIDE CASE</t>
  </si>
  <si>
    <t xml:space="preserve">Spine, but mix diversifies as plants scale</t>
  </si>
  <si>
    <t xml:space="preserve">L6 monopoly fully exploited; standalone ~₹200 Cr</t>
  </si>
  <si>
    <t xml:space="preserve">External + internal; standalone ~₹190 Cr</t>
  </si>
  <si>
    <t xml:space="preserve">N.Command converts; Mehler scales</t>
  </si>
  <si>
    <t xml:space="preserve">Algeria JV + Kazakhstan firm</t>
  </si>
  <si>
    <t xml:space="preserve">DYSL → limited procurement → scale</t>
  </si>
  <si>
    <t xml:space="preserve">   Composites (campus)</t>
  </si>
  <si>
    <t xml:space="preserve">Campus operational FY30</t>
  </si>
  <si>
    <t xml:space="preserve">   TOTAL — UPSIDE CASE</t>
  </si>
  <si>
    <t xml:space="preserve">DOWNSIDE CASE</t>
  </si>
  <si>
    <t xml:space="preserve">IAF slips FY28; normal growth</t>
  </si>
  <si>
    <t xml:space="preserve">Ceramic line delayed</t>
  </si>
  <si>
    <t xml:space="preserve">SEB/external sales slow</t>
  </si>
  <si>
    <t xml:space="preserve">Enquiry doesn't convert</t>
  </si>
  <si>
    <t xml:space="preserve">Channel partners slow</t>
  </si>
  <si>
    <t xml:space="preserve">   Smart helmet</t>
  </si>
  <si>
    <t xml:space="preserve">R&amp;D slips</t>
  </si>
  <si>
    <t xml:space="preserve">   Composites</t>
  </si>
  <si>
    <t xml:space="preserve">No campus FY30</t>
  </si>
  <si>
    <t xml:space="preserve">   TOTAL — DOWNSIDE CASE</t>
  </si>
  <si>
    <t xml:space="preserve">ACTIVE SCENARIO REVENUE  (drives P&amp;L via CHOOSE on Assumptions B3)</t>
  </si>
  <si>
    <t xml:space="preserve">   Total revenue (active)</t>
  </si>
  <si>
    <t xml:space="preserve">   YoY growth %</t>
  </si>
  <si>
    <t xml:space="preserve">FY27 MONTHLY BUILD  (Apr-May = actual invoicing; Jun-Mar = phased)</t>
  </si>
  <si>
    <t xml:space="preserve">Month</t>
  </si>
  <si>
    <t xml:space="preserve">Apr-26</t>
  </si>
  <si>
    <t xml:space="preserve">May-26</t>
  </si>
  <si>
    <t xml:space="preserve">Jun-26</t>
  </si>
  <si>
    <t xml:space="preserve">Jul-26</t>
  </si>
  <si>
    <t xml:space="preserve">Aug-26</t>
  </si>
  <si>
    <t xml:space="preserve">Sep-26</t>
  </si>
  <si>
    <t xml:space="preserve">Oct-26</t>
  </si>
  <si>
    <t xml:space="preserve">Nov-26</t>
  </si>
  <si>
    <t xml:space="preserve">Dec-26</t>
  </si>
  <si>
    <t xml:space="preserve">Jan-27</t>
  </si>
  <si>
    <t xml:space="preserve">Feb-27</t>
  </si>
  <si>
    <t xml:space="preserve">Mar-27</t>
  </si>
  <si>
    <t xml:space="preserve">TOTAL</t>
  </si>
  <si>
    <t xml:space="preserve">   Revenue invoiced (₹ Cr)</t>
  </si>
  <si>
    <t xml:space="preserve">   Tie-check vs annual FY27</t>
  </si>
  <si>
    <t xml:space="preserve">Stream commencement timing:</t>
  </si>
  <si>
    <t xml:space="preserve">   Armour:    live now (₹93.82 Cr identified book; IAF ₹48 Cr probable, tech eval done)</t>
  </si>
  <si>
    <t xml:space="preserve">   UHMWPE:    Q3 FY27 (Solutions plant commissioned; awaiting SEB connection)</t>
  </si>
  <si>
    <t xml:space="preserve">   Ceramic:   Q4 FY27 / Q1 FY28 (Deftech line; $200k advance paid)</t>
  </si>
  <si>
    <t xml:space="preserve">   Vehicle:   FY28+ (Mehler partnership; N.Command ₹50 Cr enquiry)</t>
  </si>
  <si>
    <t xml:space="preserve">   Exports:   FY27 ramping (PNG ₹0.70 Cr + 6 channel partners with POs)</t>
  </si>
  <si>
    <t xml:space="preserve">   Smart helmet: FY29-30+ (DRDO DYSL LAToT R&amp;D phase)</t>
  </si>
  <si>
    <t xml:space="preserve">   Composites: FY30+ (campus-gated)</t>
  </si>
  <si>
    <t xml:space="preserve">GROUP CONSOLIDATION — STANDALONE vs CONSOLIDATED  (₹ Cr)</t>
  </si>
  <si>
    <t xml:space="preserve">Three entities under Pragati Defence Systems. Standalone view = each entity's total revenue (incl. internal supply). Consolidated = external sales only (intercompany eliminated).</t>
  </si>
  <si>
    <t xml:space="preserve">Driven by ACTIVE SCENARIO (Assumptions B3). Live link to Revenue tab.</t>
  </si>
  <si>
    <t xml:space="preserve">Entity / line</t>
  </si>
  <si>
    <t xml:space="preserve">Note</t>
  </si>
  <si>
    <t xml:space="preserve">A. STANDALONE ENTITY REVENUE (incl. internal supply)</t>
  </si>
  <si>
    <t xml:space="preserve">   PDS standalone (armour + vehicle + smart + composites)</t>
  </si>
  <si>
    <t xml:space="preserve">Finished armour, vehicle, helmets, composites sold by parent</t>
  </si>
  <si>
    <t xml:space="preserve">   Deftech standalone (ceramic external + internal to PDS)</t>
  </si>
  <si>
    <t xml:space="preserve">External plates + ~15% of armour rev as internal supply</t>
  </si>
  <si>
    <t xml:space="preserve">   Solutions standalone (UHMWPE external + internal to PDS)</t>
  </si>
  <si>
    <t xml:space="preserve">External fabric + ~12% of armour rev as internal supply</t>
  </si>
  <si>
    <t xml:space="preserve">   Exports (channel partners)</t>
  </si>
  <si>
    <t xml:space="preserve">Exports channel — separate go-to-market</t>
  </si>
  <si>
    <t xml:space="preserve">   Sum of standalone (PDS + Deftech + Solutions + Exports)</t>
  </si>
  <si>
    <t xml:space="preserve">   Less: intercompany elimination (Deftech→PDS + Solutions→PDS)</t>
  </si>
  <si>
    <t xml:space="preserve">Internal supply eliminated on consolidation</t>
  </si>
  <si>
    <t xml:space="preserve">B. GROUP CONSOLIDATED REVENUE  (= what investors see)</t>
  </si>
  <si>
    <t xml:space="preserve">   Consolidated total (matches P&amp;L Revenue line)</t>
  </si>
  <si>
    <t xml:space="preserve">   Cross-check: standalone − elimination</t>
  </si>
  <si>
    <t xml:space="preserve">   Tie variance (should be 0)</t>
  </si>
  <si>
    <t xml:space="preserve">C. ENTITY POSITIONING (FY31, ACTIVE SCENARIO)</t>
  </si>
  <si>
    <t xml:space="preserve">   PDS standalone FY31</t>
  </si>
  <si>
    <t xml:space="preserve">Parent — finished armour platform</t>
  </si>
  <si>
    <t xml:space="preserve">   Deftech standalone FY31</t>
  </si>
  <si>
    <t xml:space="preserve">Ceramic subsidiary — standalone ₹150-200 Cr business at upside</t>
  </si>
  <si>
    <t xml:space="preserve">   Solutions standalone FY31</t>
  </si>
  <si>
    <t xml:space="preserve">UHMWPE subsidiary — standalone ₹150-200 Cr business at upside</t>
  </si>
  <si>
    <t xml:space="preserve">NOTES &amp; DD ITEMS</t>
  </si>
  <si>
    <t xml:space="preserve">• Intercompany supply ratio: ~15% of PDS armour rev from Deftech ceramic + ~12% from Solutions UHMWPE = ~27% combined.</t>
  </si>
  <si>
    <t xml:space="preserve">• Both subsidiaries become 100% PDS subs this round; consolidation completes Q2 FY27 (MCA process in progress).</t>
  </si>
  <si>
    <t xml:space="preserve">• Deftech FY25 = pre-operational shell: negative reserves ₹(5.29) Cr, LT borrowing ₹5.17 Cr — document as RPT before DD (gap MW-2).</t>
  </si>
  <si>
    <t xml:space="preserve">• Standalone figures matter for: (a) entity valuation if separately funded, (b) IP/asset ringfencing, (c) export EOU eligibility per entity.</t>
  </si>
  <si>
    <t xml:space="preserve">• Consolidated figures matter for: (a) investor revenue headline, (b) group P&amp;L, (c) DSCR and covenants.</t>
  </si>
  <si>
    <t xml:space="preserve">PROFIT &amp; LOSS  (₹ Cr)</t>
  </si>
  <si>
    <t xml:space="preserve">FY24</t>
  </si>
  <si>
    <t xml:space="preserve">FY25</t>
  </si>
  <si>
    <t xml:space="preserve">FY26</t>
  </si>
  <si>
    <t xml:space="preserve">Audited</t>
  </si>
  <si>
    <t xml:space="preserve">Provisional</t>
  </si>
  <si>
    <t xml:space="preserve">Projected</t>
  </si>
  <si>
    <t xml:space="preserve">Revenue from operations</t>
  </si>
  <si>
    <t xml:space="preserve">Material cost</t>
  </si>
  <si>
    <t xml:space="preserve">Direct expenses (freight, duty, testing)</t>
  </si>
  <si>
    <t xml:space="preserve">GROSS PROFIT</t>
  </si>
  <si>
    <t xml:space="preserve">Employee cost</t>
  </si>
  <si>
    <t xml:space="preserve">SG&amp;A / other overheads</t>
  </si>
  <si>
    <t xml:space="preserve">EBITDA</t>
  </si>
  <si>
    <t xml:space="preserve">   EBITDA margin %</t>
  </si>
  <si>
    <t xml:space="preserve">Depreciation &amp; amortisation</t>
  </si>
  <si>
    <t xml:space="preserve">EBIT</t>
  </si>
  <si>
    <t xml:space="preserve">Finance costs</t>
  </si>
  <si>
    <t xml:space="preserve">Other income (FD interest, investment returns)</t>
  </si>
  <si>
    <t xml:space="preserve">PROFIT BEFORE TAX</t>
  </si>
  <si>
    <t xml:space="preserve">Tax (pre-FY26: audited actual; FY26+: 115BAB 17.16%)</t>
  </si>
  <si>
    <t xml:space="preserve">PROFIT AFTER TAX (PAT)</t>
  </si>
  <si>
    <t xml:space="preserve">   PAT margin %</t>
  </si>
  <si>
    <t xml:space="preserve">FY24/FY25 Tax hardcoded to audited actual (pre-115BAB). FY26+ formula @17.16%.</t>
  </si>
  <si>
    <t xml:space="preserve">FY26 cost lines corrected to actuals: employee ₹1.65 Cr, SG&amp;A ₹2 Cr. EBITDA ₹27.72 Cr (54.3% margin). Minor ₹0.59 Cr rounding variance to hardcoded PBT ₹27 Cr.</t>
  </si>
  <si>
    <t xml:space="preserve">FY27 REVENUE BRIDGE &amp; COGS ENGINE  (₹ Cr)</t>
  </si>
  <si>
    <t xml:space="preserve">₹93.82 Cr identified order book (IAF &amp; clause INSIDE it) + pipeline + subsidiary streams = ₹120 Cr.</t>
  </si>
  <si>
    <t xml:space="preserve">Component</t>
  </si>
  <si>
    <t xml:space="preserve">FY27 ₹ Cr</t>
  </si>
  <si>
    <t xml:space="preserve">COGS %</t>
  </si>
  <si>
    <t xml:space="preserve">GM %</t>
  </si>
  <si>
    <t xml:space="preserve">Gross profit</t>
  </si>
  <si>
    <t xml:space="preserve">Status / note</t>
  </si>
  <si>
    <t xml:space="preserve">IDENTIFIED ORDER BOOK (₹93.82 Cr)</t>
  </si>
  <si>
    <t xml:space="preserve">   Confirmed PO + executing balance (shields, Army, RPF)</t>
  </si>
  <si>
    <t xml:space="preserve">Confirmed / executing</t>
  </si>
  <si>
    <t xml:space="preserve">   Clause / option upside (no re-tender)</t>
  </si>
  <si>
    <t xml:space="preserve">Buyer-exercisable</t>
  </si>
  <si>
    <t xml:space="preserve">   J&amp;K Police BRJ L6 (L1)</t>
  </si>
  <si>
    <t xml:space="preserve">L1 won, MII preference</t>
  </si>
  <si>
    <t xml:space="preserve">   IAF Jacket — 40% share</t>
  </si>
  <si>
    <t xml:space="preserve">PROBABLE — tech eval done, not yet PO</t>
  </si>
  <si>
    <t xml:space="preserve">   Identified order book subtotal</t>
  </si>
  <si>
    <t xml:space="preserve">TOP-UP TO ₹120 Cr TARGET</t>
  </si>
  <si>
    <t xml:space="preserve">   Additional pipeline conversion (armour)</t>
  </si>
  <si>
    <t xml:space="preserve">Prob-weighted pipeline</t>
  </si>
  <si>
    <t xml:space="preserve">   UHMWPE external (Solutions, Q3 start)</t>
  </si>
  <si>
    <t xml:space="preserve">Commodity fabric</t>
  </si>
  <si>
    <t xml:space="preserve">   Ceramic (Deftech, Q4 token)</t>
  </si>
  <si>
    <t xml:space="preserve">Real ramp FY28</t>
  </si>
  <si>
    <t xml:space="preserve">   UHMWPE in-house saving (lifts armour margin)</t>
  </si>
  <si>
    <t xml:space="preserve">~30% cheaper in-house fabric on internal use</t>
  </si>
  <si>
    <t xml:space="preserve">FY27 TOTAL REVENUE</t>
  </si>
  <si>
    <t xml:space="preserve">   Blended gross margin %</t>
  </si>
  <si>
    <t xml:space="preserve">   Blended COGS % (feeds P&amp;L FY27)</t>
  </si>
  <si>
    <t xml:space="preserve">Confirmed+clause+J&amp;K+L1 = ~₹46 Cr truly committed; IAF ₹48 Cr is probable (tech eval done, no PO). Shown distinctly for DD honesty.</t>
  </si>
  <si>
    <t xml:space="preserve">CASH FLOW &amp; WORKING CAPITAL  (₹ Cr)</t>
  </si>
  <si>
    <t xml:space="preserve">CAPEX</t>
  </si>
  <si>
    <t xml:space="preserve">   New capex (ceramic/UHMWPE/ballistic)</t>
  </si>
  <si>
    <t xml:space="preserve">   Total capex</t>
  </si>
  <si>
    <t xml:space="preserve">   Cumulative new capex (for dep'n)</t>
  </si>
  <si>
    <t xml:space="preserve">DRIVERS (from P&amp;L)</t>
  </si>
  <si>
    <t xml:space="preserve">WORKING CAPITAL BALANCES</t>
  </si>
  <si>
    <t xml:space="preserve">   Revenue</t>
  </si>
  <si>
    <t xml:space="preserve">   COGS (material + direct)</t>
  </si>
  <si>
    <t xml:space="preserve">   Material</t>
  </si>
  <si>
    <t xml:space="preserve">OPERATING CASH FLOW</t>
  </si>
  <si>
    <t xml:space="preserve">   PAT</t>
  </si>
  <si>
    <t xml:space="preserve">   + Depreciation</t>
  </si>
  <si>
    <t xml:space="preserve">   (Increase)/decrease in receivables</t>
  </si>
  <si>
    <t xml:space="preserve">   (Increase)/decrease in inventory</t>
  </si>
  <si>
    <t xml:space="preserve">   (Increase)/decrease in advances</t>
  </si>
  <si>
    <t xml:space="preserve">   Increase/(decrease) in payables</t>
  </si>
  <si>
    <t xml:space="preserve">   Net operating cash flow</t>
  </si>
  <si>
    <t xml:space="preserve">   + One-off: DMSRDE collected (books recon pending)</t>
  </si>
  <si>
    <t xml:space="preserve">   Investing cash flow (capex)</t>
  </si>
  <si>
    <t xml:space="preserve">FINANCING</t>
  </si>
  <si>
    <t xml:space="preserve">   Equity raise</t>
  </si>
  <si>
    <t xml:space="preserve">   SIDBI drawdown</t>
  </si>
  <si>
    <t xml:space="preserve">   SIDBI principal repayment</t>
  </si>
  <si>
    <t xml:space="preserve">   Existing bank debt repayment</t>
  </si>
  <si>
    <t xml:space="preserve">   Net financing cash flow</t>
  </si>
  <si>
    <t xml:space="preserve">   Net change in cash</t>
  </si>
  <si>
    <t xml:space="preserve">   Opening cash</t>
  </si>
  <si>
    <t xml:space="preserve">   Closing cash</t>
  </si>
  <si>
    <t xml:space="preserve">   Minimum cash floor</t>
  </si>
  <si>
    <t xml:space="preserve">   Headroom above floor</t>
  </si>
  <si>
    <t xml:space="preserve">AFSOD/GOC Rs 19.96 Cr (~91% of current AR) expected ~45 days — discountable via SIDBI invoice line. DMSRDE Rs 3.47 Cr already in bank (recon pending).</t>
  </si>
  <si>
    <t xml:space="preserve">Floor ₹9 Cr defended. Negative headroom = breach. Opening uses FY25 audited; replace w/ FY26 provisional BS.</t>
  </si>
  <si>
    <t xml:space="preserve">OPENING RECEIVABLES — COLLECTION SCHEDULE  (₹ Cr)</t>
  </si>
  <si>
    <t xml:space="preserve">DMSRDE ₹3.47 Cr already received in bank (books reconciliation pending). Not in collection schedule.</t>
  </si>
  <si>
    <t xml:space="preserve">Receivable</t>
  </si>
  <si>
    <t xml:space="preserve">Amount</t>
  </si>
  <si>
    <t xml:space="preserve">Expected</t>
  </si>
  <si>
    <t xml:space="preserve">DMRL + small (DGQA, N.Railway)</t>
  </si>
  <si>
    <t xml:space="preserve">Jun 26 (15 days)</t>
  </si>
  <si>
    <t xml:space="preserve">BlackLine PNG export ($73,200)</t>
  </si>
  <si>
    <t xml:space="preserve">Jun 26</t>
  </si>
  <si>
    <t xml:space="preserve">Pending — confirmed</t>
  </si>
  <si>
    <t xml:space="preserve">AFSOD / GOC (19.96 Cr)</t>
  </si>
  <si>
    <t xml:space="preserve">Jul 26 (~45 days)</t>
  </si>
  <si>
    <t xml:space="preserve">High confidence</t>
  </si>
  <si>
    <t xml:space="preserve">RPF / Northern Railway</t>
  </si>
  <si>
    <t xml:space="preserve">Sep 26</t>
  </si>
  <si>
    <t xml:space="preserve">Total pending collection (FY27 Q1-Q3)</t>
  </si>
  <si>
    <t xml:space="preserve">ALREADY IN BANK — NOT IN COLLECTION SCHEDULE</t>
  </si>
  <si>
    <t xml:space="preserve">   DMSRDE (₹3.47 Cr received — awaiting books recon)</t>
  </si>
  <si>
    <t xml:space="preserve">Received</t>
  </si>
  <si>
    <t xml:space="preserve">Cash in bank ✓</t>
  </si>
  <si>
    <t xml:space="preserve">Total cash + future collections (all AR)</t>
  </si>
  <si>
    <t xml:space="preserve">For WC planning — excludes DMSRDE already cash</t>
  </si>
  <si>
    <t xml:space="preserve">Key note: AFSOD ₹19.96 Cr (Jul 26) = 91% of pending collection. Clears FY26 advance tax (₹4.86 Cr) with ₹15.1 Cr surplus.</t>
  </si>
  <si>
    <t xml:space="preserve">ADVANCE TAX SCHEDULE &amp; CASH COVER  (₹ Cr)</t>
  </si>
  <si>
    <t xml:space="preserve">Advance-tax dates mapped against cash + receivables, so every instalment is visibly covered.</t>
  </si>
  <si>
    <t xml:space="preserve">FY26 ADVANCE TAX — CATCH-UP</t>
  </si>
  <si>
    <t xml:space="preserve">FY26 PBT (management)</t>
  </si>
  <si>
    <t xml:space="preserve">Tax @ 17.16% (115BAB)</t>
  </si>
  <si>
    <t xml:space="preserve">Advance tax paid to date</t>
  </si>
  <si>
    <t xml:space="preserve">Outstanding now</t>
  </si>
  <si>
    <t xml:space="preserve">234B/234C interest accrued (~5 mo @1%)</t>
  </si>
  <si>
    <t xml:space="preserve">Total to clear</t>
  </si>
  <si>
    <t xml:space="preserve">Cover: AFSOD collection (July)</t>
  </si>
  <si>
    <t xml:space="preserve">Surplus after clearing tax</t>
  </si>
  <si>
    <t xml:space="preserve">ACTION: clear when AFSOD lands July. Penalty grows ~₹4.6L/month — stop the bleed.</t>
  </si>
  <si>
    <t xml:space="preserve">FY27 ADVANCE TAX — FOUR INSTALMENTS</t>
  </si>
  <si>
    <t xml:space="preserve">FY27 projected PBT</t>
  </si>
  <si>
    <t xml:space="preserve">FY27 tax @ 17.16%</t>
  </si>
  <si>
    <t xml:space="preserve">Due date</t>
  </si>
  <si>
    <t xml:space="preserve">Cum %</t>
  </si>
  <si>
    <t xml:space="preserve">Instalment</t>
  </si>
  <si>
    <t xml:space="preserve">Coverage</t>
  </si>
  <si>
    <t xml:space="preserve">15 Jun 2026</t>
  </si>
  <si>
    <t xml:space="preserve">DMRL+BlackLine</t>
  </si>
  <si>
    <t xml:space="preserve">15 Sep 2026</t>
  </si>
  <si>
    <t xml:space="preserve">AFSOD surplus + RPF</t>
  </si>
  <si>
    <t xml:space="preserve">15 Dec 2026</t>
  </si>
  <si>
    <t xml:space="preserve">Q3 + revolver</t>
  </si>
  <si>
    <t xml:space="preserve">15 Mar 2027</t>
  </si>
  <si>
    <t xml:space="preserve">Q4 collections</t>
  </si>
  <si>
    <t xml:space="preserve">Total FY27 advance tax</t>
  </si>
  <si>
    <t xml:space="preserve">Each instalment pre-funded in 13-week forecast. SIDBI revolver bridges collection delays so tax is ALWAYS on time.</t>
  </si>
  <si>
    <t xml:space="preserve">RECEIVABLES &amp; CUSTOMER CONCENTRATION  (₹ Cr, ~28-May-26)</t>
  </si>
  <si>
    <t xml:space="preserve">Corrected for DMSRDE (paid, recon pending). Source ledger was stale — Rajesh to re-run clean Tally ageing for data room.</t>
  </si>
  <si>
    <t xml:space="preserve">Party / invoice</t>
  </si>
  <si>
    <t xml:space="preserve">Ageing</t>
  </si>
  <si>
    <t xml:space="preserve">% of AR</t>
  </si>
  <si>
    <t xml:space="preserve">AFSOD / GOC (PDS/25-26/020)</t>
  </si>
  <si>
    <t xml:space="preserve">30-60 days</t>
  </si>
  <si>
    <t xml:space="preserve">Indian Army Punjab (PDS/25-26/019)</t>
  </si>
  <si>
    <t xml:space="preserve">60-120 days</t>
  </si>
  <si>
    <t xml:space="preserve">DMRL + N.Railway + DGQA (FY27)</t>
  </si>
  <si>
    <t xml:space="preserve">current</t>
  </si>
  <si>
    <t xml:space="preserve">SN Deftech (small)</t>
  </si>
  <si>
    <t xml:space="preserve">mixed</t>
  </si>
  <si>
    <t xml:space="preserve">TOTAL RECEIVABLES (corrected)</t>
  </si>
  <si>
    <t xml:space="preserve">Memo: DMSRDE 009+010 — RECEIVED in bank, books recon pending</t>
  </si>
  <si>
    <t xml:space="preserve">Memo: BlackLine PNG export ($73,200 @96) — confirmed</t>
  </si>
  <si>
    <t xml:space="preserve">CUSTOMER CONCENTRATION</t>
  </si>
  <si>
    <t xml:space="preserve">AFSOD as % of current receivables</t>
  </si>
  <si>
    <t xml:space="preserve">AFSOD is ~91% of the CURRENT book — a TIMING concentration (one large milestone invoice), not a customer-base concentration (order book spans Army, DMSRDE, Railway, J&amp;K, paramilitary). Must be named in data room; mitigant = invoice discounting via SIDBI line.</t>
  </si>
  <si>
    <t xml:space="preserve">BANK GUARANTEE / MARGIN MONEY SCHEDULE  (₹ Cr)</t>
  </si>
  <si>
    <t xml:space="preserve">FD-backed BGs lock cash until each tender obligation closes. Grows with the order book — a permanent, rising claim on cash.</t>
  </si>
  <si>
    <t xml:space="preserve">   BG / margin money required (5% of revenue)</t>
  </si>
  <si>
    <t xml:space="preserve">   Opening BG locked (FY26 = current ₹9.12 Cr)</t>
  </si>
  <si>
    <t xml:space="preserve">   Incremental BG locked in year</t>
  </si>
  <si>
    <t xml:space="preserve">Cumulative cash locked in BGs (=BG required)</t>
  </si>
  <si>
    <t xml:space="preserve">BG at 5% of revenue kept HANDY (FD-backed). At ₹120 Cr = ₹6.0 Cr locked. Funded within the raise, not assumed away.</t>
  </si>
  <si>
    <t xml:space="preserve">DEBT SCHEDULE — SIDBI Term Loan  (₹ Cr)</t>
  </si>
  <si>
    <t xml:space="preserve">   Drawdown</t>
  </si>
  <si>
    <t xml:space="preserve">   Opening balance</t>
  </si>
  <si>
    <t xml:space="preserve">   Principal repayment</t>
  </si>
  <si>
    <t xml:space="preserve">   Closing balance</t>
  </si>
  <si>
    <t xml:space="preserve">   Interest — SIDBI</t>
  </si>
  <si>
    <t xml:space="preserve">   Interest — existing bank debt</t>
  </si>
  <si>
    <t xml:space="preserve">   TOTAL FINANCE COST</t>
  </si>
  <si>
    <t xml:space="preserve">Note: SIDBI rate 9% and 1-yr moratorium / 5-yr tenor are PLACEHOLDERS — replace with term-sheet terms.</t>
  </si>
  <si>
    <t xml:space="preserve">DEBT SERVICEABILITY</t>
  </si>
  <si>
    <t xml:space="preserve">   EBITDA</t>
  </si>
  <si>
    <t xml:space="preserve">   Debt service (interest + principal)</t>
  </si>
  <si>
    <t xml:space="preserve">   DSCR (EBITDA / debt service)</t>
  </si>
  <si>
    <t xml:space="preserve">   Interest cover (EBITDA / interest)</t>
  </si>
  <si>
    <t xml:space="preserve">   Net debt / EBITDA</t>
  </si>
  <si>
    <t xml:space="preserve">DSCR comfortably &gt;2x signals the ₹20 Cr is serviceable from operating cash with covenant headroom.</t>
  </si>
  <si>
    <t xml:space="preserve">VALUATION &amp; DILUTION  (₹ Cr)</t>
  </si>
  <si>
    <t xml:space="preserve">Reference floor: CCD round priced at ₹360 Cr conversion floor. This round: not below ₹500 Cr pre-money.</t>
  </si>
  <si>
    <t xml:space="preserve">₹500 Cr</t>
  </si>
  <si>
    <t xml:space="preserve">₹600 Cr</t>
  </si>
  <si>
    <t xml:space="preserve">₹700 Cr</t>
  </si>
  <si>
    <t xml:space="preserve">Active</t>
  </si>
  <si>
    <t xml:space="preserve">Pre-money valuation</t>
  </si>
  <si>
    <t xml:space="preserve">Equity raised</t>
  </si>
  <si>
    <t xml:space="preserve">Post-money valuation</t>
  </si>
  <si>
    <t xml:space="preserve">Dilution %</t>
  </si>
  <si>
    <t xml:space="preserve">FY26 PAT (provisional)</t>
  </si>
  <si>
    <t xml:space="preserve">   P/E on FY26 PAT (trailing)</t>
  </si>
  <si>
    <t xml:space="preserve">FY27 PAT (base case)</t>
  </si>
  <si>
    <t xml:space="preserve">   P/E on FY27 PAT (forward)</t>
  </si>
  <si>
    <t xml:space="preserve">CCD conversion floor (reference)</t>
  </si>
  <si>
    <t xml:space="preserve">x on FY26 PAT</t>
  </si>
  <si>
    <t xml:space="preserve">At ₹500 Cr pre-money: ~22x trailing / ~17x forward, ~9% dilution — above the ₹360 Cr CCD floor (clean up-round).</t>
  </si>
  <si>
    <t xml:space="preserve">COMPETITOR BENCHMARK — PRAGATI vs SMPP</t>
  </si>
  <si>
    <t xml:space="preserve">India personal protection is structurally a duopoly. SMPP is the incumbent at scale; Pragati is the technical challenger.</t>
  </si>
  <si>
    <t xml:space="preserve">Sources: SMPP public website, 1Lattice market report, MoD procurement releases (Jun-2025, Mar-2026), GeM tender records.</t>
  </si>
  <si>
    <t xml:space="preserve">Dimension</t>
  </si>
  <si>
    <t xml:space="preserve">SMPP Limited (incumbent)</t>
  </si>
  <si>
    <t xml:space="preserve">Pragati Defence Systems (challenger)</t>
  </si>
  <si>
    <t xml:space="preserve">Corporate</t>
  </si>
  <si>
    <t xml:space="preserve">CIN U32909PB1985PLC006500 · Punjab/Delhi · founded 1985</t>
  </si>
  <si>
    <t xml:space="preserve">CIN U29270CT2021PTC011232 · Bilaspur, CG · founded 2021</t>
  </si>
  <si>
    <t xml:space="preserve">Promoter / CEO</t>
  </si>
  <si>
    <t xml:space="preserve">Dr S.C. Kansal (IIT-B, founder); Ashish Kansal (CEO)</t>
  </si>
  <si>
    <t xml:space="preserve">Naman Agrawal (CEO); Arun Kumar Agrawal (Chairman)</t>
  </si>
  <si>
    <t xml:space="preserve">Age / scale</t>
  </si>
  <si>
    <t xml:space="preserve">~40 years; multi-hundred-Cr revenue</t>
  </si>
  <si>
    <t xml:space="preserve">~5 years; ₹51 Cr FY26 → ₹120 Cr FY27 target</t>
  </si>
  <si>
    <t xml:space="preserve">Certifications</t>
  </si>
  <si>
    <t xml:space="preserve">BIS 17051:2018, NIJ, multiple ToTs</t>
  </si>
  <si>
    <t xml:space="preserve">DRDO L6 + BIS L6 + L6 Shield ToT (rare dual licence)</t>
  </si>
  <si>
    <t xml:space="preserve">IP</t>
  </si>
  <si>
    <t xml:space="preserve">17 patents filed, 10 granted</t>
  </si>
  <si>
    <t xml:space="preserve">2 design patents planned + DRDO co-development</t>
  </si>
  <si>
    <t xml:space="preserve">Market share claim</t>
  </si>
  <si>
    <t xml:space="preserve">"More than 90% personal protection share" — 1Lattice report</t>
  </si>
  <si>
    <t xml:space="preserve">~55% in fairly-structured technical evaluations</t>
  </si>
  <si>
    <t xml:space="preserve">Recent MoD orders</t>
  </si>
  <si>
    <t xml:space="preserve">Jun 2025: ~₹300 Cr (27,700 BPJ + 11,700 helmets, Emergency Procurement)
Mar 2026: +10,000 BPJ (paramilitary total 50,000)
Historical: ₹639 Cr / 1.86 lakh jackets</t>
  </si>
  <si>
    <t xml:space="preserve">FY26 ₹71 Cr+ order book confirmed
FY27 IAF jacket ₹48 Cr tech-eval cleared
Winning Army Udhampur shields</t>
  </si>
  <si>
    <t xml:space="preserve">Product breadth</t>
  </si>
  <si>
    <t xml:space="preserve">BPJ + ballistic helmet (AK-47-rated)</t>
  </si>
  <si>
    <t xml:space="preserve">BPJ + helmet + shield + ceramic plates + UHMWPE fabric</t>
  </si>
  <si>
    <t xml:space="preserve">Vertical integration</t>
  </si>
  <si>
    <t xml:space="preserve">Limited — most RM sourced externally</t>
  </si>
  <si>
    <t xml:space="preserve">Ceramics (Deftech) + UHMWPE (Solutions) being commissioned</t>
  </si>
  <si>
    <t xml:space="preserve">Geographic footprint</t>
  </si>
  <si>
    <t xml:space="preserve">Pan-India incumbent, deep MoD relationships</t>
  </si>
  <si>
    <t xml:space="preserve">CG-based; Mehler (Germany), Kazakhstan MoU, 6 export channels</t>
  </si>
  <si>
    <t xml:space="preserve">Tax position</t>
  </si>
  <si>
    <t xml:space="preserve">Standard 25%+</t>
  </si>
  <si>
    <t xml:space="preserve">Sec 115BAB 17.16% effective (mfg election; competitive cost edge)</t>
  </si>
  <si>
    <t xml:space="preserve">STRATEGIC RECONCILIATION (for investor Q&amp;A)</t>
  </si>
  <si>
    <t xml:space="preserve">"SMPP claims 90% share"</t>
  </si>
  <si>
    <t xml:space="preserve">SMPP claim = installed/volume share of the historical incumbent (40 years). Pragati's 55% = win-rate in technically-fair recent evaluations where BIS L6 + DRDO L6 are required. Both can be true: incumbent dominates volume; challenger dominates fair technical bids. As the MoD widens supplier base (Sep 2024 IIT-D/DRDO Level V/VI ToT to Midhani/SMPP/AR Polymers), share will redistribute.</t>
  </si>
  <si>
    <t xml:space="preserve">"Why aren't more competitors entering?"</t>
  </si>
  <si>
    <t xml:space="preserve">BIS L6 + DRDO L6 dual licence takes 3-5 years and significant capital. Only 2 companies hold the BIS L6 (SMPP, Pragati). DRDO L6 ceramic ToT is held by Pragati exclusively for ceramic plates.</t>
  </si>
  <si>
    <t xml:space="preserve">"Where does Pragati win?"</t>
  </si>
  <si>
    <t xml:space="preserve">Product-level fair evaluations (DRDO L6 ceramic technology, hybrid B4C-SiC matrix), 115BAB cost advantage, full vertical integration (in-house UHMWPE + ceramic), state-of-art certifications. SMPP wins on scale, dealer network, MoD tenure.</t>
  </si>
  <si>
    <t xml:space="preserve">"What's the structural risk?"</t>
  </si>
  <si>
    <t xml:space="preserve">SMPP scale + lobbying. Mitigated by: (a) Pragati's unique DRDO L6 ceramic licence, (b) IAF-Force tech-eval wins demonstrating product superiority, (c) market is growing — both can scale (India body armour ~US$285M by 2030 at 8.1% CAGR).</t>
  </si>
  <si>
    <t xml:space="preserve">DD-pending: pull SMPP FY24/FY25 exact revenue &amp; PAT from smgroupindia.com annual reports (Rajesh).</t>
  </si>
  <si>
    <t xml:space="preserve">SCENARIO COMPARISON  (₹ Cr)</t>
  </si>
  <si>
    <t xml:space="preserve">Revenue from Revenue tab. PAT from P&amp;L. Cash floor ₹9 Cr held in all scenarios.</t>
  </si>
  <si>
    <t xml:space="preserve">Metric</t>
  </si>
  <si>
    <t xml:space="preserve">DOWNSIDE</t>
  </si>
  <si>
    <t xml:space="preserve">BASE</t>
  </si>
  <si>
    <t xml:space="preserve">UPSIDE</t>
  </si>
  <si>
    <t xml:space="preserve">FY26 Revenue</t>
  </si>
  <si>
    <t xml:space="preserve">51</t>
  </si>
  <si>
    <t xml:space="preserve">Actual — all scenarios identical</t>
  </si>
  <si>
    <t xml:space="preserve">FY26 PBT</t>
  </si>
  <si>
    <t xml:space="preserve">27</t>
  </si>
  <si>
    <t xml:space="preserve">Management actual — all equal</t>
  </si>
  <si>
    <t xml:space="preserve">FY27 Revenue</t>
  </si>
  <si>
    <t xml:space="preserve">97</t>
  </si>
  <si>
    <t xml:space="preserve">103</t>
  </si>
  <si>
    <t xml:space="preserve">120</t>
  </si>
  <si>
    <t xml:space="preserve">PBT ₹27 Cr × 82.84%; all equal</t>
  </si>
  <si>
    <t xml:space="preserve">FY26 PAT margin</t>
  </si>
  <si>
    <t xml:space="preserve">43.8%</t>
  </si>
  <si>
    <t xml:space="preserve">Order-book anchored — all scenarios</t>
  </si>
  <si>
    <t xml:space="preserve">FY27 PAT (est)</t>
  </si>
  <si>
    <t xml:space="preserve">~38.7</t>
  </si>
  <si>
    <t xml:space="preserve">FY28 Revenue</t>
  </si>
  <si>
    <t xml:space="preserve">150</t>
  </si>
  <si>
    <t xml:space="preserve">198</t>
  </si>
  <si>
    <t xml:space="preserve">223</t>
  </si>
  <si>
    <t xml:space="preserve">Scenarios diverge from FY28</t>
  </si>
  <si>
    <t xml:space="preserve">FY29 Revenue</t>
  </si>
  <si>
    <t xml:space="preserve">230</t>
  </si>
  <si>
    <t xml:space="preserve">335</t>
  </si>
  <si>
    <t xml:space="preserve">390</t>
  </si>
  <si>
    <t xml:space="preserve">FY30 Revenue</t>
  </si>
  <si>
    <t xml:space="preserve">315</t>
  </si>
  <si>
    <t xml:space="preserve">500</t>
  </si>
  <si>
    <t xml:space="preserve">585</t>
  </si>
  <si>
    <t xml:space="preserve">FY31 Revenue</t>
  </si>
  <si>
    <t xml:space="preserve">410</t>
  </si>
  <si>
    <t xml:space="preserve">650</t>
  </si>
  <si>
    <t xml:space="preserve">800</t>
  </si>
  <si>
    <t xml:space="preserve">Campus-gated for upside</t>
  </si>
  <si>
    <t xml:space="preserve">FY31 PAT (est)</t>
  </si>
  <si>
    <t xml:space="preserve">~126</t>
  </si>
  <si>
    <t xml:space="preserve">~230</t>
  </si>
  <si>
    <t xml:space="preserve">~294</t>
  </si>
  <si>
    <t xml:space="preserve">30-35% net margin</t>
  </si>
  <si>
    <t xml:space="preserve">DSCR FY27</t>
  </si>
  <si>
    <t xml:space="preserve">55.9×</t>
  </si>
  <si>
    <t xml:space="preserve">Same SIDBI facility all scenarios</t>
  </si>
  <si>
    <t xml:space="preserve">Min cash floor</t>
  </si>
  <si>
    <t xml:space="preserve">₹9 Cr</t>
  </si>
  <si>
    <t xml:space="preserve">Defended — never breached</t>
  </si>
  <si>
    <t xml:space="preserve">FY31 cash (est)</t>
  </si>
  <si>
    <t xml:space="preserve">₹188 Cr</t>
  </si>
  <si>
    <t xml:space="preserve">₹284 Cr</t>
  </si>
  <si>
    <t xml:space="preserve">₹400+ Cr</t>
  </si>
  <si>
    <t xml:space="preserve">Zero debt by FY31</t>
  </si>
  <si>
    <t xml:space="preserve">SCENARIO DEFINITIONS:</t>
  </si>
  <si>
    <t xml:space="preserve">DOWNSIDE: IAF slips FY28, ceramic/UHMWPE ramp delayed. Still profitable ₹126 Cr PAT. Floor holds at ₹12.6 Cr.</t>
  </si>
  <si>
    <t xml:space="preserve">BASE: Order book delivers, plants commission on schedule. SIDBI underwriting case. FY31 PAT ₹230 Cr.</t>
  </si>
  <si>
    <t xml:space="preserve">UPSIDE: Campus operational FY30, all 7 streams firing, campus-gated. FY31 ₹800 Cr / PAT ₹294 Cr.</t>
  </si>
  <si>
    <t xml:space="preserve">UPSIDE CASE — 7-STREAM STACK TO ₹800 Cr FY31, EVIDENCE-GRADED  (₹ Cr)</t>
  </si>
  <si>
    <t xml:space="preserve">Each line graded by proof held today. Base case (₹489 Cr) is what the round funds; this is the campus-gated upside.</t>
  </si>
  <si>
    <t xml:space="preserve">Stream</t>
  </si>
  <si>
    <t xml:space="preserve">Grade</t>
  </si>
  <si>
    <t xml:space="preserve">Evidence held / upgrade milestone</t>
  </si>
  <si>
    <t xml:space="preserve">Armour (jackets/helmets/shields)</t>
  </si>
  <si>
    <t xml:space="preserve">STRONG</t>
  </si>
  <si>
    <t xml:space="preserve">₹93.8 Cr order book, DRDO L6+BIS L6, 4-yr invoice history, repeat clauses. Only growth rate assumed.</t>
  </si>
  <si>
    <t xml:space="preserve">Ceramics (Deftech)</t>
  </si>
  <si>
    <t xml:space="preserve">PARTIAL</t>
  </si>
  <si>
    <t xml:space="preserve">DRDO L6 ceramic ToT + $200k machinery paid. Upgrade: commission line, first plate sales.</t>
  </si>
  <si>
    <t xml:space="preserve">UHMWPE fabric (Solutions)</t>
  </si>
  <si>
    <t xml:space="preserve">₹4.77 Cr plant installed/commissioned. Upgrade: SEB connection, external supply contracts.</t>
  </si>
  <si>
    <t xml:space="preserve">Vehicle / platform armour</t>
  </si>
  <si>
    <t xml:space="preserve">NARRATIVE</t>
  </si>
  <si>
    <t xml:space="preserve">Northern Command ₹50 Cr ENQUIRY only (no order) + Mehler partnership. Upgrade: convert enquiry to PO.</t>
  </si>
  <si>
    <t xml:space="preserve">Exports</t>
  </si>
  <si>
    <t xml:space="preserve">PNG order ($73k) + multiple channel-partner POs in hand. Upgrade: Algeria JV / Kazakhstan firm orders.</t>
  </si>
  <si>
    <t xml:space="preserve">Smart helmet (DRDO DYSL)</t>
  </si>
  <si>
    <t xml:space="preserve">DYSL LAToT signed — R&amp;D only, no product/trials. Upgrade: complete trials, limited procurement.</t>
  </si>
  <si>
    <t xml:space="preserve">Composites / aerospace</t>
  </si>
  <si>
    <t xml:space="preserve">DPR-stage; needs campus. Upgrade: campus build + first autoclave order.</t>
  </si>
  <si>
    <t xml:space="preserve">TOTAL — UPSIDE</t>
  </si>
  <si>
    <t xml:space="preserve">   of which STRONG-graded</t>
  </si>
  <si>
    <t xml:space="preserve">   of which PARTIAL-graded</t>
  </si>
  <si>
    <t xml:space="preserve">   of which NARRATIVE-graded</t>
  </si>
  <si>
    <t xml:space="preserve">   Conservative base (P&amp;L, for reference)</t>
  </si>
  <si>
    <t xml:space="preserve">FY31 ₹800 Cr: ~₹450 STRONG (armour) + ~₹250 PARTIAL (ceramics/UHMWPE/exports, plants paid) + ~₹100 NARRATIVE (vehicle/smart/composites). Present graded — never as uniform certainty.</t>
  </si>
  <si>
    <t xml:space="preserve">Gated on Naya Raipur campus (FY30). Base ₹489 Cr is committed/funded; ₹800 Cr is the exposure upside.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</si>
</sst>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#,##0"/>
    <numFmt numFmtId="166" formatCode="#,##0.00;\(#,##0.00\);\-"/>
    <numFmt numFmtId="167" formatCode="0.0%"/>
    <numFmt numFmtId="168" formatCode="0.00"/>
    <numFmt numFmtId="169" formatCode="#,##0;\(#,##0\);\-"/>
    <numFmt numFmtId="170" formatCode="0.0\x"/>
  </numFmts>
  <fonts count="39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1F3864"/>
      <name val="Arial"/>
      <family val="0"/>
      <charset val="1"/>
    </font>
    <font>
      <b val="true"/>
      <sz val="12"/>
      <color rgb="FFC55A11"/>
      <name val="Arial"/>
      <family val="0"/>
      <charset val="1"/>
    </font>
    <font>
      <i val="true"/>
      <sz val="9"/>
      <color rgb="FF000000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b val="true"/>
      <sz val="9"/>
      <color rgb="FFC55A11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10"/>
      <color rgb="FF0000FF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b val="true"/>
      <sz val="10"/>
      <color rgb="FF008000"/>
      <name val="Arial"/>
      <family val="0"/>
      <charset val="1"/>
    </font>
    <font>
      <sz val="9"/>
      <color rgb="FFC00000"/>
      <name val="Arial"/>
      <family val="0"/>
      <charset val="1"/>
    </font>
    <font>
      <b val="true"/>
      <sz val="13"/>
      <color rgb="FF1F3864"/>
      <name val="Arial"/>
      <family val="0"/>
      <charset val="1"/>
    </font>
    <font>
      <b val="true"/>
      <sz val="9"/>
      <color rgb="FFFFFFFF"/>
      <name val="Arial"/>
      <family val="0"/>
      <charset val="1"/>
    </font>
    <font>
      <i val="true"/>
      <sz val="8"/>
      <color rgb="FFC00000"/>
      <name val="Arial"/>
      <family val="0"/>
      <charset val="1"/>
    </font>
    <font>
      <i val="true"/>
      <sz val="8"/>
      <color rgb="FFC55A11"/>
      <name val="Arial"/>
      <family val="0"/>
      <charset val="1"/>
    </font>
    <font>
      <b val="true"/>
      <sz val="10"/>
      <color rgb="FFC55A11"/>
      <name val="Arial"/>
      <family val="0"/>
      <charset val="1"/>
    </font>
    <font>
      <b val="true"/>
      <sz val="10"/>
      <color rgb="FF1F3864"/>
      <name val="Arial"/>
      <family val="0"/>
      <charset val="1"/>
    </font>
    <font>
      <sz val="10"/>
      <color rgb="FF000000"/>
      <name val="Arial"/>
      <family val="0"/>
      <charset val="1"/>
    </font>
    <font>
      <sz val="10"/>
      <color rgb="FF0000FF"/>
      <name val="Arial"/>
      <family val="0"/>
      <charset val="1"/>
    </font>
    <font>
      <i val="true"/>
      <sz val="8"/>
      <color rgb="FF000000"/>
      <name val="Arial"/>
      <family val="0"/>
      <charset val="1"/>
    </font>
    <font>
      <i val="true"/>
      <sz val="8"/>
      <name val="Arial"/>
      <family val="0"/>
      <charset val="1"/>
    </font>
    <font>
      <sz val="10"/>
      <color rgb="FF008000"/>
      <name val="Arial"/>
      <family val="0"/>
      <charset val="1"/>
    </font>
    <font>
      <sz val="10"/>
      <name val="Arial"/>
      <family val="2"/>
    </font>
    <font>
      <b val="true"/>
      <sz val="14"/>
      <color rgb="FF1F3864"/>
      <name val="Arial"/>
      <family val="0"/>
      <charset val="1"/>
    </font>
    <font>
      <i val="true"/>
      <sz val="9"/>
      <color rgb="FFC55A11"/>
      <name val="Arial"/>
      <family val="0"/>
      <charset val="1"/>
    </font>
    <font>
      <sz val="10"/>
      <color rgb="FFC00000"/>
      <name val="Arial"/>
      <family val="0"/>
      <charset val="1"/>
    </font>
    <font>
      <i val="true"/>
      <sz val="8"/>
      <color rgb="FFFFFFFF"/>
      <name val="Arial"/>
      <family val="0"/>
      <charset val="1"/>
    </font>
    <font>
      <i val="true"/>
      <sz val="10"/>
      <color rgb="FF000000"/>
      <name val="Arial"/>
      <family val="0"/>
      <charset val="1"/>
    </font>
    <font>
      <i val="true"/>
      <sz val="8"/>
      <color rgb="FF808080"/>
      <name val="Arial"/>
      <family val="0"/>
      <charset val="1"/>
    </font>
    <font>
      <i val="true"/>
      <sz val="8"/>
      <color rgb="FF008000"/>
      <name val="Arial"/>
      <family val="0"/>
      <charset val="1"/>
    </font>
    <font>
      <sz val="9"/>
      <color rgb="FF008000"/>
      <name val="Arial"/>
      <family val="0"/>
      <charset val="1"/>
    </font>
    <font>
      <i val="true"/>
      <sz val="9"/>
      <color rgb="FFC00000"/>
      <name val="Arial"/>
      <family val="0"/>
      <charset val="1"/>
    </font>
    <font>
      <b val="true"/>
      <sz val="10"/>
      <color rgb="FFC00000"/>
      <name val="Arial"/>
      <family val="0"/>
      <charset val="1"/>
    </font>
    <font>
      <b val="true"/>
      <sz val="8"/>
      <color rgb="FF000000"/>
      <name val="Arial"/>
      <family val="0"/>
      <charset val="1"/>
    </font>
    <font>
      <sz val="8"/>
      <color rgb="FF000000"/>
      <name val="Arial"/>
      <family val="0"/>
      <charset val="1"/>
    </font>
    <font>
      <i val="true"/>
      <sz val="9"/>
      <color rgb="FF008000"/>
      <name val="Arial"/>
      <family val="0"/>
      <charset val="1"/>
    </font>
  </fonts>
  <fills count="14">
    <fill>
      <patternFill patternType="none"/>
    </fill>
    <fill>
      <patternFill patternType="gray125"/>
    </fill>
    <fill>
      <patternFill patternType="solid">
        <fgColor rgb="FF1F3864"/>
        <bgColor rgb="FF333333"/>
      </patternFill>
    </fill>
    <fill>
      <patternFill patternType="solid">
        <fgColor rgb="FFFFFF00"/>
        <bgColor rgb="FFFFFF00"/>
      </patternFill>
    </fill>
    <fill>
      <patternFill patternType="solid">
        <fgColor rgb="FFC00000"/>
        <bgColor rgb="FF800000"/>
      </patternFill>
    </fill>
    <fill>
      <patternFill patternType="solid">
        <fgColor rgb="FFD9E1F2"/>
        <bgColor rgb="FFF2F2F2"/>
      </patternFill>
    </fill>
    <fill>
      <patternFill patternType="solid">
        <fgColor rgb="FFF2F2F2"/>
        <bgColor rgb="FFFFFFFF"/>
      </patternFill>
    </fill>
    <fill>
      <patternFill patternType="solid">
        <fgColor rgb="FFC55A11"/>
        <bgColor rgb="FF993300"/>
      </patternFill>
    </fill>
    <fill>
      <patternFill patternType="solid">
        <fgColor rgb="FF008000"/>
        <bgColor rgb="FF008080"/>
      </patternFill>
    </fill>
    <fill>
      <patternFill patternType="solid">
        <fgColor rgb="FFC6EFCE"/>
        <bgColor rgb="FFD9E1F2"/>
      </patternFill>
    </fill>
    <fill>
      <patternFill patternType="solid">
        <fgColor rgb="FFFFC7CE"/>
        <bgColor rgb="FFD9E1F2"/>
      </patternFill>
    </fill>
    <fill>
      <patternFill patternType="solid">
        <fgColor rgb="FF548235"/>
        <bgColor rgb="FF339966"/>
      </patternFill>
    </fill>
    <fill>
      <patternFill patternType="solid">
        <fgColor rgb="FF2E75B6"/>
        <bgColor rgb="FF0066CC"/>
      </patternFill>
    </fill>
    <fill>
      <patternFill patternType="solid">
        <fgColor rgb="FFFFEB9C"/>
        <bgColor rgb="FFF2F2F2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4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2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5" fillId="4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6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10" fillId="3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9" fillId="5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5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2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21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11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22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7" fontId="21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7" fontId="11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7" fontId="21" fillId="3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21" fillId="3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11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21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21" fillId="3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23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2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2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8" fontId="2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1" fillId="6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11" fillId="6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20" fillId="6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7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7" fillId="7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20" fillId="7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20" fillId="2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6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7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2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2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6" fontId="12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9" fontId="21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1" fillId="5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12" fillId="5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9" fontId="11" fillId="5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8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8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1" fillId="9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12" fillId="9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9" fontId="11" fillId="9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9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1" fillId="1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12" fillId="1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9" fontId="11" fillId="1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1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9" fontId="11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7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11" fillId="7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9" fontId="2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2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9" fontId="2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9" fontId="12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9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2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9" fontId="2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9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29" fillId="11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2" fillId="3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9" fillId="1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24" fillId="3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7" fontId="3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30" fillId="6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24" fillId="6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19" fillId="5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7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24" fillId="7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7" fontId="22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31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21" fillId="5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7" fontId="21" fillId="5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7" fontId="20" fillId="5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20" fillId="5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22" fillId="5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7" fontId="2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7" fontId="21" fillId="6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7" fontId="11" fillId="6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6" fillId="6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11" fillId="5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7" fontId="11" fillId="5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2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32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32" fillId="7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7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33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34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33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33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7" fontId="2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2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3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7" fontId="3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3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70" fontId="11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70" fontId="2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70" fontId="3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33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22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20" fillId="1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6" fontId="11" fillId="5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6" fontId="20" fillId="9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7" fontId="20" fillId="1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7" fontId="11" fillId="5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7" fontId="20" fillId="9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20" fillId="1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1" fillId="5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20" fillId="9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36" fillId="9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3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36" fillId="13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36" fillId="1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9" fontId="7" fillId="7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9" fontId="3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9" fontId="3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C0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548235"/>
      <rgbColor rgb="FF800080"/>
      <rgbColor rgb="FF008080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D9E1F2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EB9C"/>
      <rgbColor rgb="FF99CCFF"/>
      <rgbColor rgb="FFFF99CC"/>
      <rgbColor rgb="FFCC99FF"/>
      <rgbColor rgb="FFFFC7CE"/>
      <rgbColor rgb="FF2E75B6"/>
      <rgbColor rgb="FF33CCCC"/>
      <rgbColor rgb="FF99CC00"/>
      <rgbColor rgb="FFFFCC00"/>
      <rgbColor rgb="FFFF9900"/>
      <rgbColor rgb="FFC55A11"/>
      <rgbColor rgb="FF666699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worksheet" Target="worksheets/sheet10.xml"/><Relationship Id="rId13" Type="http://schemas.openxmlformats.org/officeDocument/2006/relationships/worksheet" Target="worksheets/sheet11.xml"/><Relationship Id="rId14" Type="http://schemas.openxmlformats.org/officeDocument/2006/relationships/worksheet" Target="worksheets/sheet12.xml"/><Relationship Id="rId15" Type="http://schemas.openxmlformats.org/officeDocument/2006/relationships/worksheet" Target="worksheets/sheet13.xml"/><Relationship Id="rId16" Type="http://schemas.openxmlformats.org/officeDocument/2006/relationships/worksheet" Target="worksheets/sheet14.xml"/><Relationship Id="rId17" Type="http://schemas.openxmlformats.org/officeDocument/2006/relationships/worksheet" Target="worksheets/sheet15.xml"/><Relationship Id="rId18" Type="http://schemas.openxmlformats.org/officeDocument/2006/relationships/worksheet" Target="worksheets/sheet16.xml"/><Relationship Id="rId19" Type="http://schemas.openxmlformats.org/officeDocument/2006/relationships/worksheet" Target="worksheets/sheet17.xml"/><Relationship Id="rId20" Type="http://schemas.openxmlformats.org/officeDocument/2006/relationships/worksheet" Target="worksheets/sheet18.xml"/><Relationship Id="rId21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4.xml.rels><?xml version="1.0" encoding="UTF-8"?>
<Relationships xmlns="http://schemas.openxmlformats.org/package/2006/relationships"><Relationship Id="rId1" Type="http://schemas.openxmlformats.org/officeDocument/2006/relationships/comments" Target="../comments4.xml"/><Relationship Id="rId2" Type="http://schemas.openxmlformats.org/officeDocument/2006/relationships/vmlDrawing" Target="../drawings/vmlDrawing1.vm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comments" Target="../comments5.xml"/><Relationship Id="rId2" Type="http://schemas.openxmlformats.org/officeDocument/2006/relationships/vmlDrawing" Target="../drawings/vmlDrawing2.vml"/>
</Relationships>
</file>

<file path=xl/worksheets/_rels/sheet7.xml.rels><?xml version="1.0" encoding="UTF-8"?>
<Relationships xmlns="http://schemas.openxmlformats.org/package/2006/relationships"><Relationship Id="rId1" Type="http://schemas.openxmlformats.org/officeDocument/2006/relationships/comments" Target="../comments7.xml"/><Relationship Id="rId2" Type="http://schemas.openxmlformats.org/officeDocument/2006/relationships/vmlDrawing" Target="../drawings/vmlDrawing3.vml"/>
</Relationships>
</file>

<file path=xl/worksheets/_rels/sheet9.xml.rels><?xml version="1.0" encoding="UTF-8"?>
<Relationships xmlns="http://schemas.openxmlformats.org/package/2006/relationships"><Relationship Id="rId1" Type="http://schemas.openxmlformats.org/officeDocument/2006/relationships/comments" Target="../comments9.xml"/><Relationship Id="rId2" Type="http://schemas.openxmlformats.org/officeDocument/2006/relationships/vmlDrawing" Target="../drawings/vmlDrawing4.vml"/>
</Relationships>
</file>

<file path=xl/worksheets/_rels/sheet13.xml.rels><?xml version="1.0" encoding="UTF-8"?>
<Relationships xmlns="http://schemas.openxmlformats.org/package/2006/relationships"><Relationship Id="rId1" Type="http://schemas.openxmlformats.org/officeDocument/2006/relationships/comments" Target="../comments13.xml"/><Relationship Id="rId2" Type="http://schemas.openxmlformats.org/officeDocument/2006/relationships/vmlDrawing" Target="../drawings/vmlDrawing5.vml"/>
</Relationships>
</file>

<file path=xl/worksheets/_rels/sheet14.xml.rels><?xml version="1.0" encoding="UTF-8"?>
<Relationships xmlns="http://schemas.openxmlformats.org/package/2006/relationships"><Relationship Id="rId1" Type="http://schemas.openxmlformats.org/officeDocument/2006/relationships/comments" Target="../comments14.xml"/><Relationship Id="rId2" Type="http://schemas.openxmlformats.org/officeDocument/2006/relationships/vmlDrawing" Target="../drawings/vmlDrawing6.v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C2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"/>
    <col collapsed="false" customWidth="true" hidden="false" outlineLevel="0" max="2" min="2" style="1" width="42"/>
    <col collapsed="false" customWidth="true" hidden="false" outlineLevel="0" max="3" min="3" style="1" width="70"/>
  </cols>
  <sheetData>
    <row r="2" customFormat="false" ht="19.5" hidden="false" customHeight="true" outlineLevel="0" collapsed="false">
      <c r="B2" s="2" t="s">
        <v>0</v>
      </c>
    </row>
    <row r="3" customFormat="false" ht="15" hidden="false" customHeight="true" outlineLevel="0" collapsed="false">
      <c r="B3" s="3" t="s">
        <v>1</v>
      </c>
    </row>
    <row r="4" customFormat="false" ht="15" hidden="false" customHeight="true" outlineLevel="0" collapsed="false">
      <c r="B4" s="4" t="s">
        <v>2</v>
      </c>
    </row>
    <row r="6" customFormat="false" ht="15" hidden="false" customHeight="true" outlineLevel="0" collapsed="false">
      <c r="B6" s="5" t="s">
        <v>3</v>
      </c>
      <c r="C6" s="6"/>
    </row>
    <row r="7" customFormat="false" ht="15" hidden="false" customHeight="true" outlineLevel="0" collapsed="false">
      <c r="B7" s="7" t="s">
        <v>4</v>
      </c>
      <c r="C7" s="8" t="s">
        <v>5</v>
      </c>
    </row>
    <row r="8" customFormat="false" ht="15" hidden="false" customHeight="true" outlineLevel="0" collapsed="false">
      <c r="B8" s="7" t="s">
        <v>6</v>
      </c>
      <c r="C8" s="8" t="s">
        <v>7</v>
      </c>
    </row>
    <row r="9" customFormat="false" ht="15" hidden="false" customHeight="true" outlineLevel="0" collapsed="false">
      <c r="B9" s="7" t="s">
        <v>8</v>
      </c>
      <c r="C9" s="8" t="s">
        <v>9</v>
      </c>
    </row>
    <row r="10" customFormat="false" ht="15" hidden="false" customHeight="true" outlineLevel="0" collapsed="false">
      <c r="B10" s="7" t="s">
        <v>10</v>
      </c>
      <c r="C10" s="8" t="s">
        <v>11</v>
      </c>
    </row>
    <row r="11" customFormat="false" ht="15" hidden="false" customHeight="true" outlineLevel="0" collapsed="false">
      <c r="B11" s="7" t="s">
        <v>12</v>
      </c>
      <c r="C11" s="8" t="s">
        <v>13</v>
      </c>
    </row>
    <row r="13" customFormat="false" ht="15" hidden="false" customHeight="true" outlineLevel="0" collapsed="false">
      <c r="B13" s="5" t="s">
        <v>14</v>
      </c>
      <c r="C13" s="6"/>
    </row>
    <row r="14" customFormat="false" ht="15" hidden="false" customHeight="true" outlineLevel="0" collapsed="false">
      <c r="B14" s="9" t="s">
        <v>15</v>
      </c>
      <c r="C14" s="8" t="s">
        <v>16</v>
      </c>
    </row>
    <row r="15" customFormat="false" ht="15" hidden="false" customHeight="true" outlineLevel="0" collapsed="false">
      <c r="B15" s="10" t="s">
        <v>17</v>
      </c>
      <c r="C15" s="8" t="s">
        <v>18</v>
      </c>
    </row>
    <row r="16" customFormat="false" ht="15" hidden="false" customHeight="true" outlineLevel="0" collapsed="false">
      <c r="B16" s="11" t="s">
        <v>19</v>
      </c>
      <c r="C16" s="8" t="s">
        <v>20</v>
      </c>
    </row>
    <row r="17" customFormat="false" ht="15" hidden="false" customHeight="true" outlineLevel="0" collapsed="false">
      <c r="B17" s="12" t="s">
        <v>21</v>
      </c>
      <c r="C17" s="8" t="s">
        <v>22</v>
      </c>
    </row>
    <row r="19" customFormat="false" ht="15" hidden="false" customHeight="true" outlineLevel="0" collapsed="false">
      <c r="B19" s="5" t="s">
        <v>23</v>
      </c>
      <c r="C19" s="6"/>
    </row>
    <row r="20" customFormat="false" ht="15" hidden="false" customHeight="true" outlineLevel="0" collapsed="false">
      <c r="B20" s="13" t="s">
        <v>24</v>
      </c>
      <c r="C20" s="13"/>
    </row>
    <row r="21" customFormat="false" ht="15" hidden="false" customHeight="true" outlineLevel="0" collapsed="false">
      <c r="B21" s="13" t="s">
        <v>25</v>
      </c>
      <c r="C21" s="13"/>
    </row>
    <row r="22" customFormat="false" ht="15" hidden="false" customHeight="true" outlineLevel="0" collapsed="false">
      <c r="B22" s="13" t="s">
        <v>26</v>
      </c>
      <c r="C22" s="13"/>
    </row>
    <row r="23" customFormat="false" ht="15" hidden="false" customHeight="true" outlineLevel="0" collapsed="false">
      <c r="B23" s="13" t="s">
        <v>27</v>
      </c>
      <c r="C23" s="13"/>
    </row>
    <row r="25" customFormat="false" ht="15" hidden="false" customHeight="true" outlineLevel="0" collapsed="false">
      <c r="B25" s="14" t="s">
        <v>28</v>
      </c>
      <c r="C25" s="15"/>
    </row>
    <row r="26" customFormat="false" ht="15" hidden="false" customHeight="true" outlineLevel="0" collapsed="false">
      <c r="B26" s="16" t="s">
        <v>29</v>
      </c>
      <c r="C26" s="16"/>
    </row>
    <row r="27" customFormat="false" ht="15" hidden="false" customHeight="true" outlineLevel="0" collapsed="false">
      <c r="B27" s="16" t="s">
        <v>30</v>
      </c>
      <c r="C27" s="16"/>
    </row>
    <row r="28" customFormat="false" ht="15" hidden="false" customHeight="true" outlineLevel="0" collapsed="false">
      <c r="B28" s="16" t="s">
        <v>31</v>
      </c>
      <c r="C28" s="16"/>
    </row>
    <row r="29" customFormat="false" ht="15" hidden="false" customHeight="true" outlineLevel="0" collapsed="false">
      <c r="B29" s="16" t="s">
        <v>32</v>
      </c>
      <c r="C29" s="16"/>
    </row>
  </sheetData>
  <mergeCells count="8">
    <mergeCell ref="B20:C20"/>
    <mergeCell ref="B21:C21"/>
    <mergeCell ref="B22:C22"/>
    <mergeCell ref="B23:C23"/>
    <mergeCell ref="B26:C26"/>
    <mergeCell ref="B27:C27"/>
    <mergeCell ref="B28:C28"/>
    <mergeCell ref="B29:C29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23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0"/>
    <col collapsed="false" customWidth="true" hidden="false" outlineLevel="0" max="2" min="2" style="1" width="52"/>
    <col collapsed="false" customWidth="true" hidden="false" outlineLevel="0" max="3" min="3" style="1" width="16"/>
    <col collapsed="false" customWidth="true" hidden="false" outlineLevel="0" max="4" min="4" style="1" width="14"/>
    <col collapsed="false" customWidth="true" hidden="false" outlineLevel="0" max="5" min="5" style="1" width="12"/>
  </cols>
  <sheetData>
    <row r="1" customFormat="false" ht="15.75" hidden="false" customHeight="true" outlineLevel="0" collapsed="false">
      <c r="A1" s="17" t="s">
        <v>33</v>
      </c>
    </row>
    <row r="2" customFormat="false" ht="15" hidden="false" customHeight="true" outlineLevel="0" collapsed="false">
      <c r="A2" s="4" t="s">
        <v>34</v>
      </c>
    </row>
    <row r="4" customFormat="false" ht="15" hidden="false" customHeight="true" outlineLevel="0" collapsed="false">
      <c r="A4" s="18" t="s">
        <v>35</v>
      </c>
      <c r="B4" s="19" t="s">
        <v>36</v>
      </c>
      <c r="C4" s="18" t="s">
        <v>37</v>
      </c>
      <c r="D4" s="18" t="s">
        <v>38</v>
      </c>
      <c r="E4" s="18" t="s">
        <v>39</v>
      </c>
    </row>
    <row r="5" customFormat="false" ht="15" hidden="false" customHeight="true" outlineLevel="0" collapsed="false">
      <c r="A5" s="10" t="s">
        <v>40</v>
      </c>
      <c r="B5" s="8" t="s">
        <v>41</v>
      </c>
      <c r="C5" s="20" t="s">
        <v>42</v>
      </c>
      <c r="D5" s="20" t="s">
        <v>43</v>
      </c>
      <c r="E5" s="21" t="s">
        <v>44</v>
      </c>
    </row>
    <row r="6" customFormat="false" ht="15" hidden="false" customHeight="true" outlineLevel="0" collapsed="false">
      <c r="A6" s="10" t="s">
        <v>45</v>
      </c>
      <c r="B6" s="8" t="s">
        <v>46</v>
      </c>
      <c r="C6" s="20" t="s">
        <v>47</v>
      </c>
      <c r="D6" s="20" t="s">
        <v>48</v>
      </c>
      <c r="E6" s="20" t="s">
        <v>49</v>
      </c>
    </row>
    <row r="7" customFormat="false" ht="15" hidden="false" customHeight="true" outlineLevel="0" collapsed="false">
      <c r="A7" s="10" t="s">
        <v>50</v>
      </c>
      <c r="B7" s="8" t="s">
        <v>51</v>
      </c>
      <c r="C7" s="20" t="s">
        <v>52</v>
      </c>
      <c r="D7" s="20" t="s">
        <v>53</v>
      </c>
      <c r="E7" s="20" t="s">
        <v>49</v>
      </c>
    </row>
    <row r="8" customFormat="false" ht="15" hidden="false" customHeight="true" outlineLevel="0" collapsed="false">
      <c r="A8" s="10" t="s">
        <v>54</v>
      </c>
      <c r="B8" s="8" t="s">
        <v>55</v>
      </c>
      <c r="C8" s="20" t="s">
        <v>56</v>
      </c>
      <c r="D8" s="20" t="s">
        <v>48</v>
      </c>
      <c r="E8" s="20" t="s">
        <v>49</v>
      </c>
    </row>
    <row r="9" customFormat="false" ht="15" hidden="false" customHeight="true" outlineLevel="0" collapsed="false">
      <c r="A9" s="10" t="s">
        <v>57</v>
      </c>
      <c r="B9" s="8" t="s">
        <v>58</v>
      </c>
      <c r="C9" s="20" t="s">
        <v>52</v>
      </c>
      <c r="D9" s="20" t="s">
        <v>53</v>
      </c>
      <c r="E9" s="20" t="s">
        <v>49</v>
      </c>
    </row>
    <row r="10" customFormat="false" ht="15" hidden="false" customHeight="true" outlineLevel="0" collapsed="false">
      <c r="A10" s="10" t="s">
        <v>59</v>
      </c>
      <c r="B10" s="8" t="s">
        <v>60</v>
      </c>
      <c r="C10" s="20" t="s">
        <v>61</v>
      </c>
      <c r="D10" s="20" t="s">
        <v>62</v>
      </c>
      <c r="E10" s="20" t="s">
        <v>63</v>
      </c>
    </row>
    <row r="11" customFormat="false" ht="15" hidden="false" customHeight="true" outlineLevel="0" collapsed="false">
      <c r="A11" s="10" t="s">
        <v>64</v>
      </c>
      <c r="B11" s="8" t="s">
        <v>65</v>
      </c>
      <c r="C11" s="20" t="s">
        <v>66</v>
      </c>
      <c r="D11" s="20" t="s">
        <v>48</v>
      </c>
      <c r="E11" s="20" t="s">
        <v>49</v>
      </c>
    </row>
    <row r="12" customFormat="false" ht="15" hidden="false" customHeight="true" outlineLevel="0" collapsed="false">
      <c r="A12" s="10" t="s">
        <v>67</v>
      </c>
      <c r="B12" s="8" t="s">
        <v>68</v>
      </c>
      <c r="C12" s="20" t="s">
        <v>69</v>
      </c>
      <c r="D12" s="20" t="s">
        <v>70</v>
      </c>
      <c r="E12" s="20" t="s">
        <v>49</v>
      </c>
    </row>
    <row r="13" customFormat="false" ht="15" hidden="false" customHeight="true" outlineLevel="0" collapsed="false">
      <c r="A13" s="10" t="s">
        <v>71</v>
      </c>
      <c r="B13" s="8" t="s">
        <v>72</v>
      </c>
      <c r="C13" s="20" t="s">
        <v>73</v>
      </c>
      <c r="D13" s="20" t="s">
        <v>48</v>
      </c>
      <c r="E13" s="20" t="s">
        <v>49</v>
      </c>
    </row>
    <row r="14" customFormat="false" ht="15" hidden="false" customHeight="true" outlineLevel="0" collapsed="false">
      <c r="A14" s="10" t="s">
        <v>74</v>
      </c>
      <c r="B14" s="8" t="s">
        <v>75</v>
      </c>
      <c r="C14" s="20" t="s">
        <v>69</v>
      </c>
      <c r="D14" s="20" t="s">
        <v>48</v>
      </c>
      <c r="E14" s="20" t="s">
        <v>49</v>
      </c>
    </row>
    <row r="15" customFormat="false" ht="15" hidden="false" customHeight="true" outlineLevel="0" collapsed="false">
      <c r="A15" s="10" t="s">
        <v>76</v>
      </c>
      <c r="B15" s="8" t="s">
        <v>77</v>
      </c>
      <c r="C15" s="20" t="s">
        <v>78</v>
      </c>
      <c r="D15" s="20" t="s">
        <v>79</v>
      </c>
      <c r="E15" s="20" t="s">
        <v>49</v>
      </c>
    </row>
    <row r="16" customFormat="false" ht="15" hidden="false" customHeight="true" outlineLevel="0" collapsed="false">
      <c r="A16" s="10" t="s">
        <v>80</v>
      </c>
      <c r="B16" s="8" t="s">
        <v>81</v>
      </c>
      <c r="C16" s="20" t="s">
        <v>82</v>
      </c>
      <c r="D16" s="20" t="s">
        <v>83</v>
      </c>
      <c r="E16" s="20" t="s">
        <v>63</v>
      </c>
    </row>
    <row r="17" customFormat="false" ht="15" hidden="false" customHeight="true" outlineLevel="0" collapsed="false">
      <c r="A17" s="10" t="s">
        <v>84</v>
      </c>
      <c r="B17" s="8" t="s">
        <v>85</v>
      </c>
      <c r="C17" s="20" t="s">
        <v>82</v>
      </c>
      <c r="D17" s="20" t="s">
        <v>86</v>
      </c>
      <c r="E17" s="20" t="s">
        <v>49</v>
      </c>
    </row>
    <row r="18" customFormat="false" ht="15" hidden="false" customHeight="true" outlineLevel="0" collapsed="false">
      <c r="A18" s="10" t="s">
        <v>87</v>
      </c>
      <c r="B18" s="8" t="s">
        <v>88</v>
      </c>
      <c r="C18" s="20" t="s">
        <v>89</v>
      </c>
      <c r="D18" s="20" t="s">
        <v>83</v>
      </c>
      <c r="E18" s="20" t="s">
        <v>49</v>
      </c>
    </row>
    <row r="19" customFormat="false" ht="15" hidden="false" customHeight="true" outlineLevel="0" collapsed="false">
      <c r="A19" s="10" t="s">
        <v>90</v>
      </c>
      <c r="B19" s="8" t="s">
        <v>91</v>
      </c>
      <c r="C19" s="20" t="s">
        <v>92</v>
      </c>
      <c r="D19" s="20" t="s">
        <v>83</v>
      </c>
      <c r="E19" s="20" t="s">
        <v>49</v>
      </c>
    </row>
    <row r="20" customFormat="false" ht="15" hidden="false" customHeight="true" outlineLevel="0" collapsed="false">
      <c r="A20" s="10" t="s">
        <v>93</v>
      </c>
      <c r="B20" s="8" t="s">
        <v>94</v>
      </c>
      <c r="C20" s="20" t="s">
        <v>95</v>
      </c>
      <c r="D20" s="20" t="s">
        <v>96</v>
      </c>
      <c r="E20" s="21" t="s">
        <v>44</v>
      </c>
    </row>
    <row r="21" customFormat="false" ht="15" hidden="false" customHeight="true" outlineLevel="0" collapsed="false">
      <c r="A21" s="10" t="s">
        <v>97</v>
      </c>
      <c r="B21" s="8" t="s">
        <v>98</v>
      </c>
      <c r="C21" s="20" t="s">
        <v>99</v>
      </c>
      <c r="D21" s="20" t="s">
        <v>100</v>
      </c>
      <c r="E21" s="20" t="s">
        <v>101</v>
      </c>
    </row>
    <row r="23" customFormat="false" ht="15" hidden="false" customHeight="true" outlineLevel="0" collapsed="false">
      <c r="A23" s="22" t="s">
        <v>102</v>
      </c>
      <c r="B23" s="22"/>
      <c r="C23" s="22"/>
      <c r="D23" s="22"/>
      <c r="E23" s="22"/>
    </row>
  </sheetData>
  <mergeCells count="1">
    <mergeCell ref="A23:E2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108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6" topLeftCell="B7" activePane="bottomRight" state="frozen"/>
      <selection pane="topLeft" activeCell="A1" activeCellId="0" sqref="A1"/>
      <selection pane="topRight" activeCell="B1" activeCellId="0" sqref="B1"/>
      <selection pane="bottomLeft" activeCell="A7" activeCellId="0" sqref="A7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40"/>
    <col collapsed="false" customWidth="true" hidden="false" outlineLevel="0" max="5" min="2" style="1" width="13"/>
    <col collapsed="false" customWidth="true" hidden="false" outlineLevel="0" max="6" min="6" style="1" width="50"/>
  </cols>
  <sheetData>
    <row r="1" customFormat="false" ht="15.75" hidden="false" customHeight="true" outlineLevel="0" collapsed="false">
      <c r="A1" s="17" t="s">
        <v>103</v>
      </c>
    </row>
    <row r="3" customFormat="false" ht="15" hidden="false" customHeight="true" outlineLevel="0" collapsed="false">
      <c r="A3" s="10" t="s">
        <v>104</v>
      </c>
      <c r="B3" s="23" t="n">
        <v>1</v>
      </c>
      <c r="C3" s="24" t="s">
        <v>105</v>
      </c>
    </row>
    <row r="4" customFormat="false" ht="15" hidden="false" customHeight="true" outlineLevel="0" collapsed="false">
      <c r="A4" s="10" t="s">
        <v>106</v>
      </c>
      <c r="B4" s="25" t="str">
        <f aca="false">CHOOSE(B3,"BASE CASE — FY31 ₹650 Cr","UPSIDE CASE — FY31 ₹800 Cr (campus-gated)","DOWNSIDE CASE — FY31 ₹410 Cr")</f>
        <v>BASE CASE — FY31 ₹650 Cr</v>
      </c>
      <c r="C4" s="25"/>
      <c r="D4" s="25"/>
      <c r="E4" s="25"/>
    </row>
    <row r="6" customFormat="false" ht="15" hidden="false" customHeight="true" outlineLevel="0" collapsed="false">
      <c r="A6" s="5" t="s">
        <v>107</v>
      </c>
      <c r="B6" s="18" t="s">
        <v>108</v>
      </c>
      <c r="C6" s="18" t="s">
        <v>109</v>
      </c>
      <c r="D6" s="18" t="s">
        <v>110</v>
      </c>
      <c r="E6" s="18" t="s">
        <v>111</v>
      </c>
      <c r="F6" s="5" t="s">
        <v>112</v>
      </c>
    </row>
    <row r="7" customFormat="false" ht="15" hidden="false" customHeight="true" outlineLevel="0" collapsed="false">
      <c r="A7" s="26" t="s">
        <v>113</v>
      </c>
      <c r="B7" s="27"/>
      <c r="C7" s="27"/>
      <c r="D7" s="27"/>
      <c r="E7" s="27"/>
      <c r="F7" s="27"/>
    </row>
    <row r="8" customFormat="false" ht="15" hidden="false" customHeight="true" outlineLevel="0" collapsed="false">
      <c r="A8" s="28" t="s">
        <v>114</v>
      </c>
      <c r="B8" s="29" t="n">
        <v>104</v>
      </c>
      <c r="C8" s="29" t="n">
        <v>104</v>
      </c>
      <c r="D8" s="29" t="n">
        <v>90</v>
      </c>
      <c r="E8" s="30" t="n">
        <f aca="false">CHOOSE($B$3,B8,C8,D8)</f>
        <v>104</v>
      </c>
      <c r="F8" s="31" t="s">
        <v>115</v>
      </c>
    </row>
    <row r="9" customFormat="false" ht="15" hidden="false" customHeight="true" outlineLevel="0" collapsed="false">
      <c r="A9" s="28" t="s">
        <v>116</v>
      </c>
      <c r="B9" s="29" t="n">
        <v>9</v>
      </c>
      <c r="C9" s="29" t="n">
        <v>9</v>
      </c>
      <c r="D9" s="29" t="n">
        <v>4</v>
      </c>
      <c r="E9" s="30" t="n">
        <f aca="false">CHOOSE($B$3,B9,C9,D9)</f>
        <v>9</v>
      </c>
      <c r="F9" s="31" t="s">
        <v>117</v>
      </c>
    </row>
    <row r="10" customFormat="false" ht="15" hidden="false" customHeight="true" outlineLevel="0" collapsed="false">
      <c r="A10" s="28" t="s">
        <v>118</v>
      </c>
      <c r="B10" s="29" t="n">
        <v>7</v>
      </c>
      <c r="C10" s="29" t="n">
        <v>7</v>
      </c>
      <c r="D10" s="29" t="n">
        <v>2</v>
      </c>
      <c r="E10" s="30" t="n">
        <f aca="false">CHOOSE($B$3,B10,C10,D10)</f>
        <v>7</v>
      </c>
      <c r="F10" s="31" t="s">
        <v>119</v>
      </c>
    </row>
    <row r="11" customFormat="false" ht="15" hidden="false" customHeight="true" outlineLevel="0" collapsed="false">
      <c r="A11" s="28" t="s">
        <v>120</v>
      </c>
      <c r="B11" s="29" t="n">
        <v>0</v>
      </c>
      <c r="C11" s="29" t="n">
        <v>45</v>
      </c>
      <c r="D11" s="29" t="n">
        <v>0</v>
      </c>
      <c r="E11" s="30" t="n">
        <f aca="false">CHOOSE($B$3,B11,C11,D11)</f>
        <v>0</v>
      </c>
      <c r="F11" s="31" t="s">
        <v>121</v>
      </c>
    </row>
    <row r="12" customFormat="false" ht="15" hidden="false" customHeight="true" outlineLevel="0" collapsed="false">
      <c r="A12" s="10" t="s">
        <v>122</v>
      </c>
      <c r="B12" s="30" t="n">
        <f aca="false">SUM(B8:B11)</f>
        <v>120</v>
      </c>
      <c r="C12" s="30" t="n">
        <f aca="false">SUM(C8:C11)</f>
        <v>165</v>
      </c>
      <c r="D12" s="30" t="n">
        <f aca="false">SUM(D8:D11)</f>
        <v>96</v>
      </c>
      <c r="E12" s="30" t="n">
        <f aca="false">SUM(E8:E11)</f>
        <v>120</v>
      </c>
    </row>
    <row r="14" customFormat="false" ht="15" hidden="false" customHeight="true" outlineLevel="0" collapsed="false">
      <c r="A14" s="26" t="s">
        <v>123</v>
      </c>
      <c r="B14" s="27"/>
      <c r="C14" s="27"/>
      <c r="D14" s="27"/>
      <c r="E14" s="27"/>
      <c r="F14" s="27"/>
    </row>
    <row r="15" customFormat="false" ht="15" hidden="false" customHeight="true" outlineLevel="0" collapsed="false">
      <c r="A15" s="28" t="s">
        <v>124</v>
      </c>
      <c r="B15" s="32" t="n">
        <v>0.6</v>
      </c>
      <c r="C15" s="32" t="n">
        <v>0.8</v>
      </c>
      <c r="D15" s="32" t="n">
        <v>0.35</v>
      </c>
      <c r="E15" s="33" t="n">
        <f aca="false">CHOOSE($B$3,B15,C15,D15)</f>
        <v>0.6</v>
      </c>
      <c r="F15" s="31" t="s">
        <v>125</v>
      </c>
    </row>
    <row r="16" customFormat="false" ht="15" hidden="false" customHeight="true" outlineLevel="0" collapsed="false">
      <c r="A16" s="28" t="s">
        <v>126</v>
      </c>
      <c r="B16" s="32" t="n">
        <v>0.45</v>
      </c>
      <c r="C16" s="32" t="n">
        <v>0.7</v>
      </c>
      <c r="D16" s="32" t="n">
        <v>0.3</v>
      </c>
      <c r="E16" s="33" t="n">
        <f aca="false">CHOOSE($B$3,B16,C16,D16)</f>
        <v>0.45</v>
      </c>
      <c r="F16" s="31"/>
    </row>
    <row r="17" customFormat="false" ht="15" hidden="false" customHeight="true" outlineLevel="0" collapsed="false">
      <c r="A17" s="28" t="s">
        <v>127</v>
      </c>
      <c r="B17" s="32" t="n">
        <v>0.35</v>
      </c>
      <c r="C17" s="32" t="n">
        <v>0.55</v>
      </c>
      <c r="D17" s="32" t="n">
        <v>0.25</v>
      </c>
      <c r="E17" s="33" t="n">
        <f aca="false">CHOOSE($B$3,B17,C17,D17)</f>
        <v>0.35</v>
      </c>
      <c r="F17" s="31"/>
    </row>
    <row r="18" customFormat="false" ht="15" hidden="false" customHeight="true" outlineLevel="0" collapsed="false">
      <c r="A18" s="28" t="s">
        <v>128</v>
      </c>
      <c r="B18" s="32" t="n">
        <v>0.3</v>
      </c>
      <c r="C18" s="32" t="n">
        <v>0.45</v>
      </c>
      <c r="D18" s="32" t="n">
        <v>0.2</v>
      </c>
      <c r="E18" s="33" t="n">
        <f aca="false">CHOOSE($B$3,B18,C18,D18)</f>
        <v>0.3</v>
      </c>
      <c r="F18" s="31"/>
    </row>
    <row r="20" customFormat="false" ht="15" hidden="false" customHeight="true" outlineLevel="0" collapsed="false">
      <c r="A20" s="26" t="s">
        <v>129</v>
      </c>
      <c r="B20" s="27"/>
      <c r="C20" s="27"/>
      <c r="D20" s="27"/>
      <c r="E20" s="27"/>
      <c r="F20" s="27"/>
    </row>
    <row r="21" customFormat="false" ht="15" hidden="false" customHeight="true" outlineLevel="0" collapsed="false">
      <c r="A21" s="28" t="s">
        <v>130</v>
      </c>
      <c r="B21" s="34" t="n">
        <v>0.46</v>
      </c>
      <c r="C21" s="34" t="n">
        <v>0.45</v>
      </c>
      <c r="D21" s="34" t="n">
        <v>0.5</v>
      </c>
      <c r="E21" s="33" t="n">
        <f aca="false">CHOOSE($B$3,B21,C21,D21)</f>
        <v>0.46</v>
      </c>
      <c r="F21" s="35" t="s">
        <v>131</v>
      </c>
    </row>
    <row r="22" customFormat="false" ht="15" hidden="false" customHeight="true" outlineLevel="0" collapsed="false">
      <c r="A22" s="28" t="s">
        <v>132</v>
      </c>
      <c r="B22" s="32" t="n">
        <v>0.06</v>
      </c>
      <c r="E22" s="33" t="n">
        <f aca="false">B22</f>
        <v>0.06</v>
      </c>
      <c r="F22" s="31" t="s">
        <v>133</v>
      </c>
    </row>
    <row r="23" customFormat="false" ht="15" hidden="false" customHeight="true" outlineLevel="0" collapsed="false">
      <c r="A23" s="28" t="s">
        <v>134</v>
      </c>
      <c r="B23" s="29" t="n">
        <v>3.75</v>
      </c>
      <c r="E23" s="30" t="n">
        <f aca="false">B23</f>
        <v>3.75</v>
      </c>
      <c r="F23" s="31" t="s">
        <v>135</v>
      </c>
    </row>
    <row r="24" customFormat="false" ht="15" hidden="false" customHeight="true" outlineLevel="0" collapsed="false">
      <c r="A24" s="28" t="s">
        <v>136</v>
      </c>
      <c r="B24" s="32" t="n">
        <v>0.3</v>
      </c>
      <c r="E24" s="33" t="n">
        <f aca="false">B24</f>
        <v>0.3</v>
      </c>
      <c r="F24" s="31"/>
    </row>
    <row r="25" customFormat="false" ht="15" hidden="false" customHeight="true" outlineLevel="0" collapsed="false">
      <c r="A25" s="28" t="s">
        <v>137</v>
      </c>
      <c r="B25" s="29" t="n">
        <v>4</v>
      </c>
      <c r="E25" s="30" t="n">
        <f aca="false">B25</f>
        <v>4</v>
      </c>
      <c r="F25" s="31" t="s">
        <v>138</v>
      </c>
    </row>
    <row r="26" customFormat="false" ht="15" hidden="false" customHeight="true" outlineLevel="0" collapsed="false">
      <c r="A26" s="28" t="s">
        <v>139</v>
      </c>
      <c r="B26" s="32" t="n">
        <v>0.02</v>
      </c>
      <c r="E26" s="33" t="n">
        <f aca="false">B26</f>
        <v>0.02</v>
      </c>
      <c r="F26" s="31"/>
    </row>
    <row r="27" customFormat="false" ht="15" hidden="false" customHeight="true" outlineLevel="0" collapsed="false">
      <c r="A27" s="28" t="s">
        <v>140</v>
      </c>
      <c r="B27" s="32" t="n">
        <v>0.1</v>
      </c>
      <c r="E27" s="33" t="n">
        <f aca="false">B27</f>
        <v>0.1</v>
      </c>
      <c r="F27" s="31" t="s">
        <v>141</v>
      </c>
    </row>
    <row r="28" customFormat="false" ht="15" hidden="false" customHeight="true" outlineLevel="0" collapsed="false">
      <c r="A28" s="28" t="s">
        <v>142</v>
      </c>
      <c r="B28" s="32" t="n">
        <v>0.1716</v>
      </c>
      <c r="E28" s="33" t="n">
        <f aca="false">B28</f>
        <v>0.1716</v>
      </c>
      <c r="F28" s="31" t="s">
        <v>143</v>
      </c>
    </row>
    <row r="30" customFormat="false" ht="15" hidden="false" customHeight="true" outlineLevel="0" collapsed="false">
      <c r="A30" s="26" t="s">
        <v>144</v>
      </c>
      <c r="B30" s="27"/>
      <c r="C30" s="27"/>
      <c r="D30" s="27"/>
      <c r="E30" s="27"/>
      <c r="F30" s="27"/>
    </row>
    <row r="31" customFormat="false" ht="15" hidden="false" customHeight="true" outlineLevel="0" collapsed="false">
      <c r="A31" s="28" t="s">
        <v>145</v>
      </c>
      <c r="B31" s="36" t="n">
        <v>120</v>
      </c>
      <c r="C31" s="36" t="n">
        <v>140</v>
      </c>
      <c r="D31" s="36" t="n">
        <v>100</v>
      </c>
      <c r="E31" s="37" t="n">
        <f aca="false">CHOOSE($B$3,B31,C31,D31)</f>
        <v>120</v>
      </c>
      <c r="F31" s="35" t="s">
        <v>146</v>
      </c>
    </row>
    <row r="32" customFormat="false" ht="15" hidden="false" customHeight="true" outlineLevel="0" collapsed="false">
      <c r="A32" s="28" t="s">
        <v>147</v>
      </c>
      <c r="B32" s="38" t="n">
        <v>90</v>
      </c>
      <c r="E32" s="37" t="n">
        <f aca="false">B32</f>
        <v>90</v>
      </c>
      <c r="F32" s="31" t="s">
        <v>148</v>
      </c>
    </row>
    <row r="33" customFormat="false" ht="15" hidden="false" customHeight="true" outlineLevel="0" collapsed="false">
      <c r="A33" s="28" t="s">
        <v>149</v>
      </c>
      <c r="B33" s="38" t="n">
        <v>15</v>
      </c>
      <c r="E33" s="37" t="n">
        <f aca="false">B33</f>
        <v>15</v>
      </c>
      <c r="F33" s="31" t="s">
        <v>150</v>
      </c>
    </row>
    <row r="34" customFormat="false" ht="15" hidden="false" customHeight="true" outlineLevel="0" collapsed="false">
      <c r="A34" s="28" t="s">
        <v>151</v>
      </c>
      <c r="B34" s="32" t="n">
        <v>0.4</v>
      </c>
      <c r="E34" s="33" t="n">
        <f aca="false">B34</f>
        <v>0.4</v>
      </c>
      <c r="F34" s="31" t="s">
        <v>152</v>
      </c>
    </row>
    <row r="36" customFormat="false" ht="15" hidden="false" customHeight="true" outlineLevel="0" collapsed="false">
      <c r="A36" s="26" t="s">
        <v>153</v>
      </c>
      <c r="B36" s="27"/>
      <c r="C36" s="27"/>
      <c r="D36" s="27"/>
      <c r="E36" s="27"/>
      <c r="F36" s="27"/>
    </row>
    <row r="37" customFormat="false" ht="15" hidden="false" customHeight="true" outlineLevel="0" collapsed="false">
      <c r="A37" s="28" t="s">
        <v>154</v>
      </c>
      <c r="B37" s="29" t="n">
        <v>18</v>
      </c>
      <c r="E37" s="30" t="n">
        <f aca="false">B37</f>
        <v>18</v>
      </c>
      <c r="F37" s="31" t="s">
        <v>155</v>
      </c>
    </row>
    <row r="38" customFormat="false" ht="15" hidden="false" customHeight="true" outlineLevel="0" collapsed="false">
      <c r="A38" s="28" t="s">
        <v>156</v>
      </c>
      <c r="B38" s="29" t="n">
        <v>2</v>
      </c>
      <c r="E38" s="30" t="n">
        <f aca="false">B38</f>
        <v>2</v>
      </c>
      <c r="F38" s="31" t="s">
        <v>157</v>
      </c>
    </row>
    <row r="39" customFormat="false" ht="15" hidden="false" customHeight="true" outlineLevel="0" collapsed="false">
      <c r="A39" s="28" t="s">
        <v>158</v>
      </c>
      <c r="B39" s="29" t="n">
        <v>2.5</v>
      </c>
      <c r="E39" s="30" t="n">
        <f aca="false">B39</f>
        <v>2.5</v>
      </c>
      <c r="F39" s="31" t="s">
        <v>159</v>
      </c>
    </row>
    <row r="40" customFormat="false" ht="15" hidden="false" customHeight="true" outlineLevel="0" collapsed="false">
      <c r="A40" s="28" t="s">
        <v>160</v>
      </c>
      <c r="B40" s="32" t="n">
        <v>0.015</v>
      </c>
      <c r="E40" s="33" t="n">
        <f aca="false">B40</f>
        <v>0.015</v>
      </c>
      <c r="F40" s="31"/>
    </row>
    <row r="42" customFormat="false" ht="15" hidden="false" customHeight="true" outlineLevel="0" collapsed="false">
      <c r="A42" s="26" t="s">
        <v>161</v>
      </c>
      <c r="B42" s="27"/>
      <c r="C42" s="27"/>
      <c r="D42" s="27"/>
      <c r="E42" s="27"/>
      <c r="F42" s="27"/>
    </row>
    <row r="43" customFormat="false" ht="15" hidden="false" customHeight="true" outlineLevel="0" collapsed="false">
      <c r="A43" s="28" t="s">
        <v>162</v>
      </c>
      <c r="B43" s="29" t="n">
        <v>10</v>
      </c>
      <c r="E43" s="30" t="n">
        <f aca="false">B43</f>
        <v>10</v>
      </c>
      <c r="F43" s="35" t="s">
        <v>163</v>
      </c>
    </row>
    <row r="44" customFormat="false" ht="15" hidden="false" customHeight="true" outlineLevel="0" collapsed="false">
      <c r="A44" s="28" t="s">
        <v>164</v>
      </c>
      <c r="B44" s="29" t="n">
        <v>20</v>
      </c>
      <c r="E44" s="30" t="n">
        <f aca="false">B61</f>
        <v>20</v>
      </c>
      <c r="F44" s="35" t="s">
        <v>165</v>
      </c>
    </row>
    <row r="45" customFormat="false" ht="15" hidden="false" customHeight="true" outlineLevel="0" collapsed="false">
      <c r="A45" s="28" t="s">
        <v>166</v>
      </c>
      <c r="B45" s="32" t="n">
        <v>0.09</v>
      </c>
      <c r="E45" s="33" t="n">
        <f aca="false">B45</f>
        <v>0.09</v>
      </c>
      <c r="F45" s="31" t="s">
        <v>167</v>
      </c>
    </row>
    <row r="46" customFormat="false" ht="15" hidden="false" customHeight="true" outlineLevel="0" collapsed="false">
      <c r="A46" s="28" t="s">
        <v>168</v>
      </c>
      <c r="B46" s="38" t="n">
        <v>1</v>
      </c>
      <c r="E46" s="37" t="n">
        <f aca="false">B46</f>
        <v>1</v>
      </c>
      <c r="F46" s="31" t="s">
        <v>169</v>
      </c>
    </row>
    <row r="47" customFormat="false" ht="15" hidden="false" customHeight="true" outlineLevel="0" collapsed="false">
      <c r="A47" s="28" t="s">
        <v>170</v>
      </c>
      <c r="B47" s="38" t="n">
        <v>5</v>
      </c>
      <c r="E47" s="37" t="n">
        <f aca="false">B47</f>
        <v>5</v>
      </c>
      <c r="F47" s="31"/>
    </row>
    <row r="48" customFormat="false" ht="15" hidden="false" customHeight="true" outlineLevel="0" collapsed="false">
      <c r="A48" s="28" t="s">
        <v>171</v>
      </c>
      <c r="B48" s="29" t="n">
        <v>0.27</v>
      </c>
      <c r="E48" s="30" t="n">
        <f aca="false">B48</f>
        <v>0.27</v>
      </c>
      <c r="F48" s="31" t="s">
        <v>172</v>
      </c>
    </row>
    <row r="49" customFormat="false" ht="15" hidden="false" customHeight="true" outlineLevel="0" collapsed="false">
      <c r="A49" s="28" t="s">
        <v>173</v>
      </c>
      <c r="B49" s="29" t="n">
        <v>14.7</v>
      </c>
      <c r="E49" s="30" t="n">
        <f aca="false">B49</f>
        <v>14.7</v>
      </c>
      <c r="F49" s="31" t="s">
        <v>174</v>
      </c>
    </row>
    <row r="51" customFormat="false" ht="15" hidden="false" customHeight="true" outlineLevel="0" collapsed="false">
      <c r="A51" s="26" t="s">
        <v>175</v>
      </c>
      <c r="B51" s="27"/>
      <c r="C51" s="27"/>
      <c r="D51" s="27"/>
      <c r="E51" s="27"/>
      <c r="F51" s="27"/>
    </row>
    <row r="52" customFormat="false" ht="15" hidden="false" customHeight="true" outlineLevel="0" collapsed="false">
      <c r="A52" s="28" t="s">
        <v>176</v>
      </c>
      <c r="B52" s="29" t="n">
        <v>0.96</v>
      </c>
      <c r="F52" s="31" t="s">
        <v>177</v>
      </c>
    </row>
    <row r="53" customFormat="false" ht="15" hidden="false" customHeight="true" outlineLevel="0" collapsed="false">
      <c r="A53" s="28" t="s">
        <v>178</v>
      </c>
      <c r="B53" s="29" t="n">
        <v>4.2</v>
      </c>
      <c r="F53" s="31" t="s">
        <v>179</v>
      </c>
    </row>
    <row r="54" customFormat="false" ht="15" hidden="false" customHeight="true" outlineLevel="0" collapsed="false">
      <c r="A54" s="28" t="s">
        <v>180</v>
      </c>
      <c r="B54" s="29" t="n">
        <v>5.05</v>
      </c>
      <c r="F54" s="31" t="s">
        <v>181</v>
      </c>
    </row>
    <row r="55" customFormat="false" ht="15" hidden="false" customHeight="true" outlineLevel="0" collapsed="false">
      <c r="A55" s="28" t="s">
        <v>182</v>
      </c>
      <c r="B55" s="29" t="n">
        <v>0.2</v>
      </c>
      <c r="F55" s="31" t="s">
        <v>183</v>
      </c>
    </row>
    <row r="56" customFormat="false" ht="15" hidden="false" customHeight="true" outlineLevel="0" collapsed="false">
      <c r="A56" s="28" t="s">
        <v>184</v>
      </c>
      <c r="B56" s="29" t="n">
        <v>13.83</v>
      </c>
      <c r="F56" s="31" t="s">
        <v>185</v>
      </c>
    </row>
    <row r="57" customFormat="false" ht="15" hidden="false" customHeight="true" outlineLevel="0" collapsed="false">
      <c r="A57" s="28" t="s">
        <v>186</v>
      </c>
      <c r="B57" s="29" t="n">
        <v>12.21</v>
      </c>
      <c r="F57" s="31" t="s">
        <v>187</v>
      </c>
    </row>
    <row r="59" customFormat="false" ht="15" hidden="false" customHeight="true" outlineLevel="0" collapsed="false">
      <c r="A59" s="26" t="s">
        <v>188</v>
      </c>
      <c r="B59" s="27"/>
      <c r="C59" s="27"/>
      <c r="D59" s="27"/>
      <c r="E59" s="27"/>
      <c r="F59" s="27"/>
    </row>
    <row r="60" customFormat="false" ht="15" hidden="false" customHeight="true" outlineLevel="0" collapsed="false">
      <c r="A60" s="28" t="s">
        <v>189</v>
      </c>
      <c r="B60" s="29" t="n">
        <f aca="false">B66</f>
        <v>39</v>
      </c>
      <c r="E60" s="30" t="n">
        <f aca="false">B60</f>
        <v>39</v>
      </c>
      <c r="F60" s="35" t="s">
        <v>190</v>
      </c>
    </row>
    <row r="61" customFormat="false" ht="15" hidden="false" customHeight="true" outlineLevel="0" collapsed="false">
      <c r="A61" s="28" t="s">
        <v>191</v>
      </c>
      <c r="B61" s="29" t="n">
        <v>20</v>
      </c>
      <c r="E61" s="30" t="n">
        <f aca="false">B61</f>
        <v>20</v>
      </c>
      <c r="F61" s="31" t="s">
        <v>192</v>
      </c>
    </row>
    <row r="62" customFormat="false" ht="15" hidden="false" customHeight="true" outlineLevel="0" collapsed="false">
      <c r="A62" s="28" t="s">
        <v>193</v>
      </c>
      <c r="B62" s="34" t="n">
        <v>0.05</v>
      </c>
      <c r="E62" s="33" t="n">
        <f aca="false">B62</f>
        <v>0.05</v>
      </c>
      <c r="F62" s="31" t="s">
        <v>194</v>
      </c>
    </row>
    <row r="63" customFormat="false" ht="15" hidden="false" customHeight="true" outlineLevel="0" collapsed="false">
      <c r="A63" s="28" t="s">
        <v>195</v>
      </c>
      <c r="B63" s="38" t="n">
        <v>96</v>
      </c>
      <c r="E63" s="37" t="n">
        <f aca="false">B63</f>
        <v>96</v>
      </c>
      <c r="F63" s="31" t="s">
        <v>196</v>
      </c>
    </row>
    <row r="64" customFormat="false" ht="15" hidden="false" customHeight="true" outlineLevel="0" collapsed="false">
      <c r="A64" s="28" t="s">
        <v>197</v>
      </c>
      <c r="B64" s="39" t="n">
        <v>500</v>
      </c>
      <c r="E64" s="30" t="n">
        <f aca="false">B64</f>
        <v>500</v>
      </c>
      <c r="F64" s="31" t="s">
        <v>198</v>
      </c>
    </row>
    <row r="65" customFormat="false" ht="15" hidden="false" customHeight="true" outlineLevel="0" collapsed="false">
      <c r="A65" s="28" t="s">
        <v>199</v>
      </c>
      <c r="B65" s="39" t="n">
        <v>0</v>
      </c>
      <c r="E65" s="30" t="n">
        <f aca="false">B65</f>
        <v>0</v>
      </c>
      <c r="F65" s="31" t="s">
        <v>200</v>
      </c>
    </row>
    <row r="66" customFormat="false" ht="15" hidden="false" customHeight="true" outlineLevel="0" collapsed="false">
      <c r="A66" s="28" t="s">
        <v>201</v>
      </c>
      <c r="B66" s="39" t="n">
        <v>39</v>
      </c>
      <c r="E66" s="30" t="n">
        <f aca="false">B66</f>
        <v>39</v>
      </c>
      <c r="F66" s="31" t="s">
        <v>202</v>
      </c>
    </row>
    <row r="67" customFormat="false" ht="15" hidden="false" customHeight="true" outlineLevel="0" collapsed="false">
      <c r="A67" s="28" t="s">
        <v>203</v>
      </c>
      <c r="B67" s="39" t="n">
        <v>11</v>
      </c>
      <c r="E67" s="30" t="n">
        <f aca="false">B67</f>
        <v>11</v>
      </c>
      <c r="F67" s="31" t="s">
        <v>204</v>
      </c>
    </row>
    <row r="68" customFormat="false" ht="15" hidden="false" customHeight="true" outlineLevel="0" collapsed="false">
      <c r="A68" s="10" t="s">
        <v>205</v>
      </c>
      <c r="B68" s="30" t="n">
        <f aca="false">B66+B67</f>
        <v>50</v>
      </c>
    </row>
    <row r="70" customFormat="false" ht="15" hidden="false" customHeight="true" outlineLevel="0" collapsed="false">
      <c r="A70" s="26" t="s">
        <v>206</v>
      </c>
      <c r="B70" s="27"/>
      <c r="C70" s="27"/>
      <c r="D70" s="27"/>
      <c r="E70" s="27"/>
      <c r="F70" s="27"/>
    </row>
    <row r="71" customFormat="false" ht="15" hidden="false" customHeight="true" outlineLevel="0" collapsed="false">
      <c r="A71" s="28" t="s">
        <v>207</v>
      </c>
      <c r="B71" s="38" t="n">
        <v>60</v>
      </c>
      <c r="F71" s="31" t="s">
        <v>208</v>
      </c>
    </row>
    <row r="72" customFormat="false" ht="15" hidden="false" customHeight="true" outlineLevel="0" collapsed="false">
      <c r="A72" s="28" t="s">
        <v>209</v>
      </c>
      <c r="B72" s="38" t="n">
        <v>30</v>
      </c>
    </row>
    <row r="73" customFormat="false" ht="15" hidden="false" customHeight="true" outlineLevel="0" collapsed="false">
      <c r="A73" s="28" t="s">
        <v>210</v>
      </c>
      <c r="B73" s="36" t="n">
        <v>120</v>
      </c>
      <c r="F73" s="40" t="s">
        <v>211</v>
      </c>
    </row>
    <row r="74" customFormat="false" ht="15" hidden="false" customHeight="true" outlineLevel="0" collapsed="false">
      <c r="A74" s="28" t="s">
        <v>212</v>
      </c>
      <c r="B74" s="38" t="n">
        <v>-15</v>
      </c>
    </row>
    <row r="75" customFormat="false" ht="15" hidden="false" customHeight="true" outlineLevel="0" collapsed="false">
      <c r="A75" s="10" t="s">
        <v>213</v>
      </c>
      <c r="B75" s="37" t="n">
        <f aca="false">B71+B72+B73+B74</f>
        <v>195</v>
      </c>
    </row>
    <row r="76" customFormat="false" ht="15" hidden="false" customHeight="true" outlineLevel="0" collapsed="false">
      <c r="A76" s="10" t="s">
        <v>214</v>
      </c>
      <c r="B76" s="30" t="n">
        <f aca="false">120*B75/365</f>
        <v>64.1095890410959</v>
      </c>
    </row>
    <row r="77" customFormat="false" ht="15" hidden="false" customHeight="true" outlineLevel="0" collapsed="false">
      <c r="A77" s="28" t="s">
        <v>215</v>
      </c>
      <c r="B77" s="41" t="n">
        <f aca="false">120*(B71+B72+120+B74)/365</f>
        <v>64.1095890410959</v>
      </c>
    </row>
    <row r="78" customFormat="false" ht="15" hidden="false" customHeight="true" outlineLevel="0" collapsed="false">
      <c r="A78" s="28" t="s">
        <v>216</v>
      </c>
      <c r="B78" s="39" t="n">
        <v>9</v>
      </c>
      <c r="F78" s="35" t="s">
        <v>217</v>
      </c>
    </row>
    <row r="82" customFormat="false" ht="15" hidden="false" customHeight="true" outlineLevel="0" collapsed="false">
      <c r="A82" s="5" t="s">
        <v>218</v>
      </c>
      <c r="B82" s="6"/>
      <c r="C82" s="6"/>
    </row>
    <row r="83" customFormat="false" ht="15" hidden="false" customHeight="true" outlineLevel="0" collapsed="false">
      <c r="A83" s="28" t="s">
        <v>219</v>
      </c>
      <c r="B83" s="42" t="n">
        <v>11.66</v>
      </c>
      <c r="C83" s="31" t="s">
        <v>220</v>
      </c>
    </row>
    <row r="84" customFormat="false" ht="15" hidden="false" customHeight="true" outlineLevel="0" collapsed="false">
      <c r="A84" s="28" t="s">
        <v>221</v>
      </c>
      <c r="B84" s="42" t="n">
        <v>17.34</v>
      </c>
      <c r="C84" s="31" t="s">
        <v>222</v>
      </c>
    </row>
    <row r="85" customFormat="false" ht="15" hidden="false" customHeight="true" outlineLevel="0" collapsed="false">
      <c r="A85" s="28" t="s">
        <v>223</v>
      </c>
      <c r="B85" s="42" t="n">
        <v>6.62</v>
      </c>
      <c r="C85" s="31" t="s">
        <v>224</v>
      </c>
    </row>
    <row r="86" customFormat="false" ht="15" hidden="false" customHeight="true" outlineLevel="0" collapsed="false">
      <c r="A86" s="28" t="s">
        <v>225</v>
      </c>
      <c r="B86" s="42" t="n">
        <v>5.07</v>
      </c>
      <c r="C86" s="31"/>
    </row>
    <row r="87" customFormat="false" ht="15" hidden="false" customHeight="true" outlineLevel="0" collapsed="false">
      <c r="A87" s="28" t="s">
        <v>226</v>
      </c>
      <c r="B87" s="42" t="n">
        <v>51.01</v>
      </c>
      <c r="C87" s="31" t="s">
        <v>227</v>
      </c>
    </row>
    <row r="88" customFormat="false" ht="15" hidden="false" customHeight="true" outlineLevel="0" collapsed="false">
      <c r="A88" s="28" t="s">
        <v>228</v>
      </c>
      <c r="B88" s="42" t="n">
        <v>27</v>
      </c>
      <c r="C88" s="31" t="s">
        <v>229</v>
      </c>
    </row>
    <row r="89" customFormat="false" ht="15" hidden="false" customHeight="true" outlineLevel="0" collapsed="false">
      <c r="A89" s="28" t="s">
        <v>230</v>
      </c>
      <c r="B89" s="42" t="n">
        <v>22.43</v>
      </c>
      <c r="C89" s="31" t="s">
        <v>231</v>
      </c>
    </row>
    <row r="90" customFormat="false" ht="15" hidden="false" customHeight="true" outlineLevel="0" collapsed="false">
      <c r="A90" s="28" t="s">
        <v>232</v>
      </c>
      <c r="B90" s="42" t="n">
        <v>93.82</v>
      </c>
      <c r="C90" s="31" t="s">
        <v>233</v>
      </c>
    </row>
    <row r="91" customFormat="false" ht="15" hidden="false" customHeight="true" outlineLevel="0" collapsed="false">
      <c r="A91" s="28" t="s">
        <v>234</v>
      </c>
      <c r="B91" s="42" t="n">
        <v>120</v>
      </c>
      <c r="C91" s="31" t="s">
        <v>235</v>
      </c>
    </row>
    <row r="92" customFormat="false" ht="15" hidden="false" customHeight="true" outlineLevel="0" collapsed="false">
      <c r="A92" s="28" t="s">
        <v>236</v>
      </c>
      <c r="B92" s="43" t="n">
        <v>0.35</v>
      </c>
      <c r="C92" s="31" t="s">
        <v>237</v>
      </c>
    </row>
    <row r="93" customFormat="false" ht="15" hidden="false" customHeight="true" outlineLevel="0" collapsed="false">
      <c r="A93" s="28" t="s">
        <v>238</v>
      </c>
      <c r="B93" s="43" t="n">
        <v>0.7</v>
      </c>
      <c r="C93" s="31" t="s">
        <v>239</v>
      </c>
    </row>
    <row r="94" customFormat="false" ht="15" hidden="false" customHeight="true" outlineLevel="0" collapsed="false">
      <c r="A94" s="28" t="s">
        <v>240</v>
      </c>
      <c r="B94" s="43" t="n">
        <v>0.1524</v>
      </c>
      <c r="C94" s="31" t="s">
        <v>241</v>
      </c>
    </row>
    <row r="95" customFormat="false" ht="15" hidden="false" customHeight="true" outlineLevel="0" collapsed="false">
      <c r="A95" s="28" t="s">
        <v>242</v>
      </c>
      <c r="B95" s="42" t="n">
        <v>3.75</v>
      </c>
      <c r="C95" s="31" t="s">
        <v>243</v>
      </c>
    </row>
    <row r="96" customFormat="false" ht="15" hidden="false" customHeight="true" outlineLevel="0" collapsed="false">
      <c r="A96" s="28" t="s">
        <v>244</v>
      </c>
      <c r="B96" s="42" t="n">
        <v>9</v>
      </c>
      <c r="C96" s="31" t="s">
        <v>245</v>
      </c>
    </row>
    <row r="97" customFormat="false" ht="15" hidden="false" customHeight="true" outlineLevel="0" collapsed="false">
      <c r="A97" s="28" t="s">
        <v>246</v>
      </c>
      <c r="B97" s="42" t="n">
        <v>195</v>
      </c>
      <c r="C97" s="31" t="s">
        <v>247</v>
      </c>
    </row>
    <row r="98" customFormat="false" ht="15" hidden="false" customHeight="true" outlineLevel="0" collapsed="false">
      <c r="A98" s="28" t="s">
        <v>248</v>
      </c>
      <c r="B98" s="42" t="n">
        <v>4.63</v>
      </c>
      <c r="C98" s="31" t="s">
        <v>249</v>
      </c>
    </row>
    <row r="99" customFormat="false" ht="15" hidden="false" customHeight="true" outlineLevel="0" collapsed="false">
      <c r="A99" s="28" t="s">
        <v>250</v>
      </c>
      <c r="B99" s="43" t="n">
        <v>0.23</v>
      </c>
      <c r="C99" s="31" t="s">
        <v>251</v>
      </c>
    </row>
    <row r="100" customFormat="false" ht="15" hidden="false" customHeight="true" outlineLevel="0" collapsed="false">
      <c r="A100" s="28" t="s">
        <v>252</v>
      </c>
      <c r="B100" s="42" t="n">
        <v>6</v>
      </c>
      <c r="C100" s="31" t="s">
        <v>253</v>
      </c>
    </row>
    <row r="101" customFormat="false" ht="15" hidden="false" customHeight="true" outlineLevel="0" collapsed="false">
      <c r="A101" s="28" t="s">
        <v>254</v>
      </c>
      <c r="B101" s="42" t="n">
        <v>16.08</v>
      </c>
      <c r="C101" s="31" t="s">
        <v>255</v>
      </c>
    </row>
    <row r="102" customFormat="false" ht="15" hidden="false" customHeight="true" outlineLevel="0" collapsed="false">
      <c r="A102" s="28" t="s">
        <v>256</v>
      </c>
      <c r="B102" s="42" t="n">
        <v>2</v>
      </c>
      <c r="C102" s="31" t="s">
        <v>257</v>
      </c>
    </row>
    <row r="103" customFormat="false" ht="15" hidden="false" customHeight="true" outlineLevel="0" collapsed="false">
      <c r="A103" s="28" t="s">
        <v>258</v>
      </c>
      <c r="B103" s="42" t="n">
        <v>2.5</v>
      </c>
      <c r="C103" s="31"/>
    </row>
    <row r="104" customFormat="false" ht="15" hidden="false" customHeight="true" outlineLevel="0" collapsed="false">
      <c r="A104" s="28" t="s">
        <v>259</v>
      </c>
      <c r="B104" s="42" t="n">
        <v>20.58</v>
      </c>
      <c r="C104" s="31"/>
    </row>
    <row r="105" customFormat="false" ht="15" hidden="false" customHeight="true" outlineLevel="0" collapsed="false">
      <c r="A105" s="28" t="s">
        <v>260</v>
      </c>
      <c r="B105" s="42" t="n">
        <v>39</v>
      </c>
      <c r="C105" s="31" t="s">
        <v>261</v>
      </c>
    </row>
    <row r="106" customFormat="false" ht="15" hidden="false" customHeight="true" outlineLevel="0" collapsed="false">
      <c r="A106" s="28" t="s">
        <v>262</v>
      </c>
      <c r="B106" s="42" t="n">
        <v>11</v>
      </c>
      <c r="C106" s="31" t="s">
        <v>263</v>
      </c>
    </row>
    <row r="107" customFormat="false" ht="15" hidden="false" customHeight="true" outlineLevel="0" collapsed="false">
      <c r="A107" s="28" t="s">
        <v>264</v>
      </c>
      <c r="B107" s="42" t="n">
        <v>20</v>
      </c>
      <c r="C107" s="31"/>
    </row>
    <row r="108" customFormat="false" ht="15" hidden="false" customHeight="true" outlineLevel="0" collapsed="false">
      <c r="A108" s="28" t="s">
        <v>265</v>
      </c>
      <c r="B108" s="42" t="n">
        <v>500</v>
      </c>
      <c r="C108" s="31" t="s">
        <v>266</v>
      </c>
    </row>
  </sheetData>
  <mergeCells count="1">
    <mergeCell ref="B4:E4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33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42"/>
    <col collapsed="false" customWidth="true" hidden="false" outlineLevel="0" max="4" min="2" style="1" width="14"/>
    <col collapsed="false" customWidth="true" hidden="false" outlineLevel="0" max="5" min="5" style="1" width="46"/>
  </cols>
  <sheetData>
    <row r="1" customFormat="false" ht="15.75" hidden="false" customHeight="true" outlineLevel="0" collapsed="false">
      <c r="A1" s="17" t="s">
        <v>267</v>
      </c>
    </row>
    <row r="2" customFormat="false" ht="15" hidden="false" customHeight="true" outlineLevel="0" collapsed="false">
      <c r="A2" s="4" t="s">
        <v>268</v>
      </c>
    </row>
    <row r="4" customFormat="false" ht="15" hidden="false" customHeight="true" outlineLevel="0" collapsed="false">
      <c r="A4" s="5" t="s">
        <v>269</v>
      </c>
      <c r="B4" s="18" t="s">
        <v>270</v>
      </c>
      <c r="C4" s="18"/>
    </row>
    <row r="5" customFormat="false" ht="15" hidden="false" customHeight="true" outlineLevel="0" collapsed="false">
      <c r="A5" s="28" t="s">
        <v>271</v>
      </c>
      <c r="B5" s="41" t="n">
        <f aca="false">'Cash Flow'!C7</f>
        <v>22.5</v>
      </c>
      <c r="C5" s="41"/>
      <c r="E5" s="31"/>
    </row>
    <row r="6" customFormat="false" ht="15" hidden="false" customHeight="true" outlineLevel="0" collapsed="false">
      <c r="A6" s="28" t="s">
        <v>272</v>
      </c>
      <c r="B6" s="41" t="n">
        <f aca="false">-('Cash Flow'!C23+'Cash Flow'!C24+'Cash Flow'!C25+'Cash Flow'!C26)</f>
        <v>34.9201022620314</v>
      </c>
      <c r="C6" s="41"/>
      <c r="E6" s="31"/>
    </row>
    <row r="7" customFormat="false" ht="15" hidden="false" customHeight="true" outlineLevel="0" collapsed="false">
      <c r="A7" s="44" t="s">
        <v>273</v>
      </c>
      <c r="B7" s="45" t="n">
        <f aca="false">B5+B6</f>
        <v>57.4201022620314</v>
      </c>
      <c r="C7" s="46"/>
      <c r="E7" s="31"/>
    </row>
    <row r="8" customFormat="false" ht="15" hidden="false" customHeight="true" outlineLevel="0" collapsed="false">
      <c r="A8" s="28" t="s">
        <v>274</v>
      </c>
      <c r="B8" s="41" t="n">
        <f aca="false">-('Cash Flow'!C21+'Cash Flow'!C22)</f>
        <v>-34.6080294729349</v>
      </c>
      <c r="C8" s="41"/>
      <c r="E8" s="31"/>
    </row>
    <row r="9" customFormat="false" ht="15" hidden="false" customHeight="true" outlineLevel="0" collapsed="false">
      <c r="A9" s="47" t="s">
        <v>275</v>
      </c>
      <c r="B9" s="48" t="n">
        <f aca="false">B7+B8</f>
        <v>22.8120727890964</v>
      </c>
      <c r="C9" s="49"/>
      <c r="E9" s="31"/>
    </row>
    <row r="10" customFormat="false" ht="15" hidden="false" customHeight="true" outlineLevel="0" collapsed="false">
      <c r="A10" s="28"/>
      <c r="B10" s="41"/>
      <c r="C10" s="41"/>
      <c r="E10" s="31"/>
    </row>
    <row r="11" customFormat="false" ht="15" hidden="false" customHeight="true" outlineLevel="0" collapsed="false">
      <c r="A11" s="5" t="s">
        <v>276</v>
      </c>
      <c r="B11" s="50"/>
      <c r="C11" s="50"/>
      <c r="E11" s="31"/>
    </row>
    <row r="12" customFormat="false" ht="15" hidden="false" customHeight="true" outlineLevel="0" collapsed="false">
      <c r="A12" s="28" t="s">
        <v>277</v>
      </c>
      <c r="B12" s="42" t="n">
        <f aca="false">Assumptions!E60</f>
        <v>39</v>
      </c>
      <c r="C12" s="30"/>
    </row>
    <row r="13" customFormat="false" ht="15" hidden="false" customHeight="true" outlineLevel="0" collapsed="false">
      <c r="A13" s="28" t="s">
        <v>278</v>
      </c>
      <c r="B13" s="42" t="n">
        <f aca="false">Assumptions!E61</f>
        <v>20</v>
      </c>
    </row>
    <row r="14" customFormat="false" ht="15" hidden="false" customHeight="true" outlineLevel="0" collapsed="false">
      <c r="A14" s="44" t="s">
        <v>279</v>
      </c>
      <c r="B14" s="45" t="n">
        <f aca="false">B12+B13</f>
        <v>59</v>
      </c>
      <c r="C14" s="51"/>
    </row>
    <row r="15" customFormat="false" ht="15" hidden="false" customHeight="true" outlineLevel="0" collapsed="false">
      <c r="A15" s="47" t="s">
        <v>280</v>
      </c>
      <c r="B15" s="48" t="n">
        <f aca="false">B14-B9</f>
        <v>36.1879272109036</v>
      </c>
      <c r="C15" s="52"/>
    </row>
    <row r="17" customFormat="false" ht="15" hidden="false" customHeight="true" outlineLevel="0" collapsed="false">
      <c r="A17" s="26" t="s">
        <v>281</v>
      </c>
      <c r="B17" s="27"/>
      <c r="C17" s="27"/>
    </row>
    <row r="18" customFormat="false" ht="15" hidden="false" customHeight="true" outlineLevel="0" collapsed="false">
      <c r="A18" s="28" t="s">
        <v>282</v>
      </c>
      <c r="B18" s="42" t="n">
        <f aca="false">'Cash Flow'!C40</f>
        <v>58.4403195396707</v>
      </c>
      <c r="E18" s="31"/>
    </row>
    <row r="19" customFormat="false" ht="15" hidden="false" customHeight="true" outlineLevel="0" collapsed="false">
      <c r="A19" s="28" t="s">
        <v>283</v>
      </c>
      <c r="B19" s="42" t="n">
        <f aca="false">'BG Schedule'!C6</f>
        <v>5.15</v>
      </c>
      <c r="E19" s="31"/>
    </row>
    <row r="20" customFormat="false" ht="15" hidden="false" customHeight="true" outlineLevel="0" collapsed="false">
      <c r="A20" s="10" t="s">
        <v>284</v>
      </c>
      <c r="B20" s="30" t="n">
        <f aca="false">B18-B19</f>
        <v>53.2903195396707</v>
      </c>
    </row>
    <row r="21" customFormat="false" ht="15" hidden="false" customHeight="true" outlineLevel="0" collapsed="false">
      <c r="A21" s="53"/>
      <c r="B21" s="54"/>
    </row>
    <row r="22" customFormat="false" ht="15" hidden="false" customHeight="true" outlineLevel="0" collapsed="false">
      <c r="A22" s="35" t="s">
        <v>285</v>
      </c>
    </row>
    <row r="23" customFormat="false" ht="15" hidden="false" customHeight="true" outlineLevel="0" collapsed="false">
      <c r="A23" s="35" t="s">
        <v>286</v>
      </c>
    </row>
    <row r="25" customFormat="false" ht="15" hidden="false" customHeight="true" outlineLevel="0" collapsed="false">
      <c r="A25" s="26" t="s">
        <v>287</v>
      </c>
      <c r="B25" s="27"/>
      <c r="C25" s="27"/>
    </row>
    <row r="26" customFormat="false" ht="15" hidden="false" customHeight="true" outlineLevel="0" collapsed="false">
      <c r="A26" s="28" t="s">
        <v>288</v>
      </c>
      <c r="B26" s="42" t="n">
        <f aca="false">Assumptions!E66</f>
        <v>39</v>
      </c>
    </row>
    <row r="27" customFormat="false" ht="15" hidden="false" customHeight="true" outlineLevel="0" collapsed="false">
      <c r="A27" s="28" t="s">
        <v>289</v>
      </c>
      <c r="B27" s="42" t="n">
        <f aca="false">Assumptions!E61</f>
        <v>20</v>
      </c>
    </row>
    <row r="28" customFormat="false" ht="15" hidden="false" customHeight="true" outlineLevel="0" collapsed="false">
      <c r="A28" s="44" t="s">
        <v>290</v>
      </c>
      <c r="B28" s="45" t="n">
        <f aca="false">B26+B27</f>
        <v>59</v>
      </c>
      <c r="C28" s="51"/>
    </row>
    <row r="29" customFormat="false" ht="15" hidden="false" customHeight="true" outlineLevel="0" collapsed="false">
      <c r="A29" s="28" t="s">
        <v>291</v>
      </c>
      <c r="B29" s="41" t="n">
        <f aca="false">-B9</f>
        <v>-22.8120727890964</v>
      </c>
    </row>
    <row r="30" customFormat="false" ht="15" hidden="false" customHeight="true" outlineLevel="0" collapsed="false">
      <c r="A30" s="47" t="s">
        <v>292</v>
      </c>
      <c r="B30" s="48" t="n">
        <f aca="false">B28+B29</f>
        <v>36.1879272109036</v>
      </c>
      <c r="C30" s="52"/>
    </row>
    <row r="32" customFormat="false" ht="15" hidden="false" customHeight="true" outlineLevel="0" collapsed="false">
      <c r="A32" s="22" t="s">
        <v>293</v>
      </c>
      <c r="B32" s="22"/>
      <c r="C32" s="22"/>
      <c r="D32" s="22"/>
      <c r="E32" s="22"/>
    </row>
    <row r="33" customFormat="false" ht="15" hidden="false" customHeight="true" outlineLevel="0" collapsed="false">
      <c r="A33" s="22" t="s">
        <v>294</v>
      </c>
      <c r="B33" s="22"/>
      <c r="C33" s="22"/>
      <c r="D33" s="22"/>
      <c r="E33" s="22"/>
    </row>
  </sheetData>
  <mergeCells count="2">
    <mergeCell ref="A32:E32"/>
    <mergeCell ref="A33:E3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N55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4"/>
    <col collapsed="false" customWidth="true" hidden="false" outlineLevel="0" max="8" min="2" style="1" width="11"/>
    <col collapsed="false" customWidth="true" hidden="false" outlineLevel="0" max="9" min="9" style="1" width="32"/>
    <col collapsed="false" customWidth="true" hidden="false" outlineLevel="0" max="10" min="10" style="1" width="42"/>
  </cols>
  <sheetData>
    <row r="1" customFormat="false" ht="17.25" hidden="false" customHeight="true" outlineLevel="0" collapsed="false">
      <c r="A1" s="55" t="s">
        <v>295</v>
      </c>
    </row>
    <row r="2" customFormat="false" ht="15" hidden="false" customHeight="true" outlineLevel="0" collapsed="false">
      <c r="A2" s="4" t="s">
        <v>296</v>
      </c>
    </row>
    <row r="3" customFormat="false" ht="15" hidden="false" customHeight="true" outlineLevel="0" collapsed="false">
      <c r="A3" s="56" t="s">
        <v>297</v>
      </c>
    </row>
    <row r="5" customFormat="false" ht="15" hidden="false" customHeight="true" outlineLevel="0" collapsed="false">
      <c r="A5" s="5" t="s">
        <v>298</v>
      </c>
      <c r="B5" s="57" t="s">
        <v>299</v>
      </c>
      <c r="C5" s="57" t="s">
        <v>300</v>
      </c>
      <c r="D5" s="57" t="s">
        <v>301</v>
      </c>
      <c r="E5" s="57" t="s">
        <v>302</v>
      </c>
      <c r="F5" s="57" t="s">
        <v>303</v>
      </c>
      <c r="G5" s="57" t="s">
        <v>304</v>
      </c>
      <c r="H5" s="57" t="s">
        <v>305</v>
      </c>
      <c r="I5" s="57" t="s">
        <v>306</v>
      </c>
      <c r="J5" s="58" t="s">
        <v>112</v>
      </c>
    </row>
    <row r="6" customFormat="false" ht="15" hidden="false" customHeight="true" outlineLevel="0" collapsed="false">
      <c r="A6" s="26" t="s">
        <v>307</v>
      </c>
      <c r="B6" s="27"/>
      <c r="C6" s="27"/>
      <c r="D6" s="27"/>
      <c r="E6" s="27"/>
      <c r="F6" s="27"/>
      <c r="G6" s="27"/>
      <c r="H6" s="27"/>
      <c r="I6" s="27"/>
      <c r="J6" s="27"/>
    </row>
    <row r="7" customFormat="false" ht="15" hidden="false" customHeight="true" outlineLevel="0" collapsed="false">
      <c r="A7" s="10" t="s">
        <v>308</v>
      </c>
      <c r="B7" s="59" t="n">
        <v>11.66</v>
      </c>
      <c r="C7" s="59" t="n">
        <v>17.34</v>
      </c>
      <c r="D7" s="59" t="n">
        <v>51.01</v>
      </c>
      <c r="J7" s="31" t="s">
        <v>309</v>
      </c>
    </row>
    <row r="9" customFormat="false" ht="15" hidden="false" customHeight="true" outlineLevel="0" collapsed="false">
      <c r="A9" s="5" t="s">
        <v>310</v>
      </c>
      <c r="B9" s="6"/>
      <c r="C9" s="6"/>
      <c r="D9" s="6"/>
      <c r="E9" s="6"/>
      <c r="F9" s="6"/>
      <c r="G9" s="6"/>
      <c r="H9" s="6"/>
      <c r="I9" s="6"/>
      <c r="J9" s="6"/>
    </row>
    <row r="10" customFormat="false" ht="15" hidden="false" customHeight="true" outlineLevel="0" collapsed="false">
      <c r="A10" s="28" t="s">
        <v>311</v>
      </c>
      <c r="E10" s="60" t="n">
        <v>99</v>
      </c>
      <c r="F10" s="60" t="n">
        <v>155</v>
      </c>
      <c r="G10" s="60" t="n">
        <v>220</v>
      </c>
      <c r="H10" s="60" t="n">
        <v>290</v>
      </c>
      <c r="I10" s="60" t="n">
        <v>365</v>
      </c>
      <c r="J10" s="31" t="s">
        <v>312</v>
      </c>
    </row>
    <row r="11" customFormat="false" ht="15" hidden="false" customHeight="true" outlineLevel="0" collapsed="false">
      <c r="A11" s="28" t="s">
        <v>313</v>
      </c>
      <c r="E11" s="60" t="n">
        <v>1</v>
      </c>
      <c r="F11" s="60" t="n">
        <v>15</v>
      </c>
      <c r="G11" s="60" t="n">
        <v>40</v>
      </c>
      <c r="H11" s="60" t="n">
        <v>75</v>
      </c>
      <c r="I11" s="60" t="n">
        <v>100</v>
      </c>
      <c r="J11" s="31" t="s">
        <v>314</v>
      </c>
    </row>
    <row r="12" customFormat="false" ht="15" hidden="false" customHeight="true" outlineLevel="0" collapsed="false">
      <c r="A12" s="28" t="s">
        <v>315</v>
      </c>
      <c r="E12" s="60" t="n">
        <v>3</v>
      </c>
      <c r="F12" s="60" t="n">
        <v>15</v>
      </c>
      <c r="G12" s="60" t="n">
        <v>35</v>
      </c>
      <c r="H12" s="60" t="n">
        <v>60</v>
      </c>
      <c r="I12" s="60" t="n">
        <v>80</v>
      </c>
      <c r="J12" s="31" t="s">
        <v>316</v>
      </c>
    </row>
    <row r="13" customFormat="false" ht="15" hidden="false" customHeight="true" outlineLevel="0" collapsed="false">
      <c r="A13" s="28" t="s">
        <v>317</v>
      </c>
      <c r="E13" s="60" t="n">
        <v>0</v>
      </c>
      <c r="F13" s="60" t="n">
        <v>5</v>
      </c>
      <c r="G13" s="60" t="n">
        <v>15</v>
      </c>
      <c r="H13" s="60" t="n">
        <v>25</v>
      </c>
      <c r="I13" s="60" t="n">
        <v>30</v>
      </c>
      <c r="J13" s="31" t="s">
        <v>318</v>
      </c>
    </row>
    <row r="14" customFormat="false" ht="15" hidden="false" customHeight="true" outlineLevel="0" collapsed="false">
      <c r="A14" s="28" t="s">
        <v>319</v>
      </c>
      <c r="E14" s="60" t="n">
        <v>0</v>
      </c>
      <c r="F14" s="60" t="n">
        <v>5</v>
      </c>
      <c r="G14" s="60" t="n">
        <v>15</v>
      </c>
      <c r="H14" s="60" t="n">
        <v>25</v>
      </c>
      <c r="I14" s="60" t="n">
        <v>35</v>
      </c>
      <c r="J14" s="31" t="s">
        <v>320</v>
      </c>
    </row>
    <row r="15" customFormat="false" ht="15" hidden="false" customHeight="true" outlineLevel="0" collapsed="false">
      <c r="A15" s="28" t="s">
        <v>321</v>
      </c>
      <c r="E15" s="60" t="n">
        <v>0</v>
      </c>
      <c r="F15" s="60" t="n">
        <v>3</v>
      </c>
      <c r="G15" s="60" t="n">
        <v>10</v>
      </c>
      <c r="H15" s="60" t="n">
        <v>20</v>
      </c>
      <c r="I15" s="60" t="n">
        <v>35</v>
      </c>
      <c r="J15" s="31" t="s">
        <v>322</v>
      </c>
    </row>
    <row r="16" customFormat="false" ht="15" hidden="false" customHeight="true" outlineLevel="0" collapsed="false">
      <c r="A16" s="28" t="s">
        <v>323</v>
      </c>
      <c r="E16" s="60" t="n">
        <v>0</v>
      </c>
      <c r="F16" s="60" t="n">
        <v>0</v>
      </c>
      <c r="G16" s="60" t="n">
        <v>0</v>
      </c>
      <c r="H16" s="60" t="n">
        <v>5</v>
      </c>
      <c r="I16" s="60" t="n">
        <v>5</v>
      </c>
      <c r="J16" s="31" t="s">
        <v>324</v>
      </c>
    </row>
    <row r="17" customFormat="false" ht="15" hidden="false" customHeight="true" outlineLevel="0" collapsed="false">
      <c r="A17" s="61" t="s">
        <v>325</v>
      </c>
      <c r="B17" s="62" t="n">
        <v>11.66</v>
      </c>
      <c r="C17" s="62" t="n">
        <v>17.34</v>
      </c>
      <c r="D17" s="62" t="n">
        <v>51.01</v>
      </c>
      <c r="E17" s="63" t="n">
        <f aca="false">SUM(E10:E16)</f>
        <v>103</v>
      </c>
      <c r="F17" s="63" t="n">
        <f aca="false">SUM(F10:F16)</f>
        <v>198</v>
      </c>
      <c r="G17" s="63" t="n">
        <f aca="false">SUM(G10:G16)</f>
        <v>335</v>
      </c>
      <c r="H17" s="63" t="n">
        <f aca="false">SUM(H10:H16)</f>
        <v>500</v>
      </c>
      <c r="I17" s="63" t="n">
        <f aca="false">SUM(I10:I16)</f>
        <v>650</v>
      </c>
      <c r="J17" s="27"/>
    </row>
    <row r="19" customFormat="false" ht="15" hidden="false" customHeight="true" outlineLevel="0" collapsed="false">
      <c r="A19" s="64" t="s">
        <v>326</v>
      </c>
      <c r="B19" s="65"/>
      <c r="C19" s="65"/>
      <c r="D19" s="65"/>
      <c r="E19" s="65"/>
      <c r="F19" s="65"/>
      <c r="G19" s="65"/>
      <c r="H19" s="65"/>
      <c r="I19" s="65"/>
      <c r="J19" s="65"/>
    </row>
    <row r="20" customFormat="false" ht="15" hidden="false" customHeight="true" outlineLevel="0" collapsed="false">
      <c r="A20" s="28" t="s">
        <v>311</v>
      </c>
      <c r="E20" s="60" t="n">
        <v>116</v>
      </c>
      <c r="F20" s="60" t="n">
        <v>170</v>
      </c>
      <c r="G20" s="60" t="n">
        <v>250</v>
      </c>
      <c r="H20" s="60" t="n">
        <v>320</v>
      </c>
      <c r="I20" s="60" t="n">
        <v>385</v>
      </c>
      <c r="J20" s="31" t="s">
        <v>327</v>
      </c>
    </row>
    <row r="21" customFormat="false" ht="15" hidden="false" customHeight="true" outlineLevel="0" collapsed="false">
      <c r="A21" s="28" t="s">
        <v>313</v>
      </c>
      <c r="E21" s="60" t="n">
        <v>1</v>
      </c>
      <c r="F21" s="60" t="n">
        <v>20</v>
      </c>
      <c r="G21" s="60" t="n">
        <v>55</v>
      </c>
      <c r="H21" s="60" t="n">
        <v>100</v>
      </c>
      <c r="I21" s="60" t="n">
        <v>145</v>
      </c>
      <c r="J21" s="31" t="s">
        <v>328</v>
      </c>
    </row>
    <row r="22" customFormat="false" ht="15" hidden="false" customHeight="true" outlineLevel="0" collapsed="false">
      <c r="A22" s="28" t="s">
        <v>315</v>
      </c>
      <c r="E22" s="60" t="n">
        <v>3</v>
      </c>
      <c r="F22" s="60" t="n">
        <v>20</v>
      </c>
      <c r="G22" s="60" t="n">
        <v>45</v>
      </c>
      <c r="H22" s="60" t="n">
        <v>80</v>
      </c>
      <c r="I22" s="60" t="n">
        <v>125</v>
      </c>
      <c r="J22" s="31" t="s">
        <v>329</v>
      </c>
    </row>
    <row r="23" customFormat="false" ht="15" hidden="false" customHeight="true" outlineLevel="0" collapsed="false">
      <c r="A23" s="28" t="s">
        <v>317</v>
      </c>
      <c r="E23" s="60" t="n">
        <v>0</v>
      </c>
      <c r="F23" s="60" t="n">
        <v>5</v>
      </c>
      <c r="G23" s="60" t="n">
        <v>15</v>
      </c>
      <c r="H23" s="60" t="n">
        <v>30</v>
      </c>
      <c r="I23" s="60" t="n">
        <v>45</v>
      </c>
      <c r="J23" s="31" t="s">
        <v>330</v>
      </c>
    </row>
    <row r="24" customFormat="false" ht="15" hidden="false" customHeight="true" outlineLevel="0" collapsed="false">
      <c r="A24" s="28" t="s">
        <v>319</v>
      </c>
      <c r="E24" s="60" t="n">
        <v>0</v>
      </c>
      <c r="F24" s="60" t="n">
        <v>5</v>
      </c>
      <c r="G24" s="60" t="n">
        <v>15</v>
      </c>
      <c r="H24" s="60" t="n">
        <v>30</v>
      </c>
      <c r="I24" s="60" t="n">
        <v>45</v>
      </c>
      <c r="J24" s="31" t="s">
        <v>331</v>
      </c>
    </row>
    <row r="25" customFormat="false" ht="15" hidden="false" customHeight="true" outlineLevel="0" collapsed="false">
      <c r="A25" s="28" t="s">
        <v>321</v>
      </c>
      <c r="E25" s="60" t="n">
        <v>0</v>
      </c>
      <c r="F25" s="60" t="n">
        <v>3</v>
      </c>
      <c r="G25" s="60" t="n">
        <v>10</v>
      </c>
      <c r="H25" s="60" t="n">
        <v>20</v>
      </c>
      <c r="I25" s="60" t="n">
        <v>40</v>
      </c>
      <c r="J25" s="31" t="s">
        <v>332</v>
      </c>
    </row>
    <row r="26" customFormat="false" ht="15" hidden="false" customHeight="true" outlineLevel="0" collapsed="false">
      <c r="A26" s="28" t="s">
        <v>333</v>
      </c>
      <c r="E26" s="60" t="n">
        <v>0</v>
      </c>
      <c r="F26" s="60" t="n">
        <v>0</v>
      </c>
      <c r="G26" s="60" t="n">
        <v>0</v>
      </c>
      <c r="H26" s="60" t="n">
        <v>5</v>
      </c>
      <c r="I26" s="60" t="n">
        <v>15</v>
      </c>
      <c r="J26" s="31" t="s">
        <v>334</v>
      </c>
    </row>
    <row r="27" customFormat="false" ht="15" hidden="false" customHeight="true" outlineLevel="0" collapsed="false">
      <c r="A27" s="66" t="s">
        <v>335</v>
      </c>
      <c r="B27" s="67" t="n">
        <v>11.66</v>
      </c>
      <c r="C27" s="67" t="n">
        <v>17.34</v>
      </c>
      <c r="D27" s="67" t="n">
        <v>51.01</v>
      </c>
      <c r="E27" s="68" t="n">
        <f aca="false">SUM(E20:E26)</f>
        <v>120</v>
      </c>
      <c r="F27" s="68" t="n">
        <f aca="false">SUM(F20:F26)</f>
        <v>223</v>
      </c>
      <c r="G27" s="68" t="n">
        <f aca="false">SUM(G20:G26)</f>
        <v>390</v>
      </c>
      <c r="H27" s="68" t="n">
        <f aca="false">SUM(H20:H26)</f>
        <v>585</v>
      </c>
      <c r="I27" s="68" t="n">
        <f aca="false">SUM(I20:I26)</f>
        <v>800</v>
      </c>
      <c r="J27" s="69"/>
    </row>
    <row r="29" customFormat="false" ht="15" hidden="false" customHeight="true" outlineLevel="0" collapsed="false">
      <c r="A29" s="14" t="s">
        <v>336</v>
      </c>
      <c r="B29" s="15"/>
      <c r="C29" s="15"/>
      <c r="D29" s="15"/>
      <c r="E29" s="15"/>
      <c r="F29" s="15"/>
      <c r="G29" s="15"/>
      <c r="H29" s="15"/>
      <c r="I29" s="15"/>
      <c r="J29" s="15"/>
    </row>
    <row r="30" customFormat="false" ht="15" hidden="false" customHeight="true" outlineLevel="0" collapsed="false">
      <c r="A30" s="28" t="s">
        <v>311</v>
      </c>
      <c r="E30" s="60" t="n">
        <v>93</v>
      </c>
      <c r="F30" s="60" t="n">
        <v>130</v>
      </c>
      <c r="G30" s="60" t="n">
        <v>175</v>
      </c>
      <c r="H30" s="60" t="n">
        <v>220</v>
      </c>
      <c r="I30" s="60" t="n">
        <v>290</v>
      </c>
      <c r="J30" s="31" t="s">
        <v>337</v>
      </c>
    </row>
    <row r="31" customFormat="false" ht="15" hidden="false" customHeight="true" outlineLevel="0" collapsed="false">
      <c r="A31" s="28" t="s">
        <v>313</v>
      </c>
      <c r="E31" s="60" t="n">
        <v>1</v>
      </c>
      <c r="F31" s="60" t="n">
        <v>5</v>
      </c>
      <c r="G31" s="60" t="n">
        <v>15</v>
      </c>
      <c r="H31" s="60" t="n">
        <v>30</v>
      </c>
      <c r="I31" s="60" t="n">
        <v>45</v>
      </c>
      <c r="J31" s="31" t="s">
        <v>338</v>
      </c>
    </row>
    <row r="32" customFormat="false" ht="15" hidden="false" customHeight="true" outlineLevel="0" collapsed="false">
      <c r="A32" s="28" t="s">
        <v>315</v>
      </c>
      <c r="E32" s="60" t="n">
        <v>3</v>
      </c>
      <c r="F32" s="60" t="n">
        <v>10</v>
      </c>
      <c r="G32" s="60" t="n">
        <v>20</v>
      </c>
      <c r="H32" s="60" t="n">
        <v>30</v>
      </c>
      <c r="I32" s="60" t="n">
        <v>40</v>
      </c>
      <c r="J32" s="31" t="s">
        <v>339</v>
      </c>
    </row>
    <row r="33" customFormat="false" ht="15" hidden="false" customHeight="true" outlineLevel="0" collapsed="false">
      <c r="A33" s="28" t="s">
        <v>317</v>
      </c>
      <c r="E33" s="60" t="n">
        <v>0</v>
      </c>
      <c r="F33" s="60" t="n">
        <v>0</v>
      </c>
      <c r="G33" s="60" t="n">
        <v>5</v>
      </c>
      <c r="H33" s="60" t="n">
        <v>10</v>
      </c>
      <c r="I33" s="60" t="n">
        <v>10</v>
      </c>
      <c r="J33" s="31" t="s">
        <v>340</v>
      </c>
    </row>
    <row r="34" customFormat="false" ht="15" hidden="false" customHeight="true" outlineLevel="0" collapsed="false">
      <c r="A34" s="28" t="s">
        <v>319</v>
      </c>
      <c r="E34" s="60" t="n">
        <v>0</v>
      </c>
      <c r="F34" s="60" t="n">
        <v>5</v>
      </c>
      <c r="G34" s="60" t="n">
        <v>10</v>
      </c>
      <c r="H34" s="60" t="n">
        <v>15</v>
      </c>
      <c r="I34" s="60" t="n">
        <v>15</v>
      </c>
      <c r="J34" s="31" t="s">
        <v>341</v>
      </c>
    </row>
    <row r="35" customFormat="false" ht="15" hidden="false" customHeight="true" outlineLevel="0" collapsed="false">
      <c r="A35" s="28" t="s">
        <v>342</v>
      </c>
      <c r="E35" s="60" t="n">
        <v>0</v>
      </c>
      <c r="F35" s="60" t="n">
        <v>0</v>
      </c>
      <c r="G35" s="60" t="n">
        <v>5</v>
      </c>
      <c r="H35" s="60" t="n">
        <v>10</v>
      </c>
      <c r="I35" s="60" t="n">
        <v>10</v>
      </c>
      <c r="J35" s="31" t="s">
        <v>343</v>
      </c>
    </row>
    <row r="36" customFormat="false" ht="15" hidden="false" customHeight="true" outlineLevel="0" collapsed="false">
      <c r="A36" s="28" t="s">
        <v>344</v>
      </c>
      <c r="E36" s="60" t="n">
        <v>0</v>
      </c>
      <c r="F36" s="60" t="n">
        <v>0</v>
      </c>
      <c r="G36" s="60" t="n">
        <v>0</v>
      </c>
      <c r="H36" s="60" t="n">
        <v>0</v>
      </c>
      <c r="I36" s="60" t="n">
        <v>0</v>
      </c>
      <c r="J36" s="31" t="s">
        <v>345</v>
      </c>
    </row>
    <row r="37" customFormat="false" ht="15" hidden="false" customHeight="true" outlineLevel="0" collapsed="false">
      <c r="A37" s="70" t="s">
        <v>346</v>
      </c>
      <c r="B37" s="71" t="n">
        <v>11.66</v>
      </c>
      <c r="C37" s="71" t="n">
        <v>17.34</v>
      </c>
      <c r="D37" s="71" t="n">
        <v>51.01</v>
      </c>
      <c r="E37" s="72" t="n">
        <f aca="false">SUM(E30:E36)</f>
        <v>97</v>
      </c>
      <c r="F37" s="72" t="n">
        <f aca="false">SUM(F30:F36)</f>
        <v>150</v>
      </c>
      <c r="G37" s="72" t="n">
        <f aca="false">SUM(G30:G36)</f>
        <v>230</v>
      </c>
      <c r="H37" s="72" t="n">
        <f aca="false">SUM(H30:H36)</f>
        <v>315</v>
      </c>
      <c r="I37" s="72" t="n">
        <f aca="false">SUM(I30:I36)</f>
        <v>410</v>
      </c>
      <c r="J37" s="73"/>
    </row>
    <row r="39" customFormat="false" ht="15" hidden="false" customHeight="true" outlineLevel="0" collapsed="false">
      <c r="A39" s="47" t="s">
        <v>347</v>
      </c>
      <c r="B39" s="52"/>
      <c r="C39" s="52"/>
      <c r="D39" s="52"/>
      <c r="E39" s="52"/>
      <c r="F39" s="52"/>
      <c r="G39" s="52"/>
      <c r="H39" s="52"/>
      <c r="I39" s="52"/>
      <c r="J39" s="52"/>
    </row>
    <row r="40" customFormat="false" ht="15" hidden="false" customHeight="true" outlineLevel="0" collapsed="false">
      <c r="A40" s="10" t="s">
        <v>348</v>
      </c>
      <c r="B40" s="59" t="n">
        <v>11.66</v>
      </c>
      <c r="C40" s="59" t="n">
        <v>17.34</v>
      </c>
      <c r="D40" s="59" t="n">
        <v>51.01</v>
      </c>
      <c r="E40" s="74" t="n">
        <f aca="false">CHOOSE(Assumptions!$B$3,E17,E27,E37)</f>
        <v>103</v>
      </c>
      <c r="F40" s="74" t="n">
        <f aca="false">CHOOSE(Assumptions!$B$3,F17,F27,F37)</f>
        <v>198</v>
      </c>
      <c r="G40" s="74" t="n">
        <f aca="false">CHOOSE(Assumptions!$B$3,G17,G27,G37)</f>
        <v>335</v>
      </c>
      <c r="H40" s="74" t="n">
        <f aca="false">CHOOSE(Assumptions!$B$3,H17,H27,H37)</f>
        <v>500</v>
      </c>
      <c r="I40" s="74" t="n">
        <f aca="false">CHOOSE(Assumptions!$B$3,I17,I27,I37)</f>
        <v>650</v>
      </c>
    </row>
    <row r="41" customFormat="false" ht="15" hidden="false" customHeight="true" outlineLevel="0" collapsed="false">
      <c r="A41" s="4" t="s">
        <v>349</v>
      </c>
      <c r="C41" s="75" t="n">
        <f aca="false">(C40-B40)/B40</f>
        <v>0.487135506003431</v>
      </c>
      <c r="D41" s="75" t="n">
        <f aca="false">(D40-C40)/C40</f>
        <v>1.94175317185698</v>
      </c>
      <c r="E41" s="75" t="n">
        <f aca="false">(E40-D40)/D40</f>
        <v>1.01921191923152</v>
      </c>
      <c r="F41" s="75" t="n">
        <f aca="false">(F40-E40)/E40</f>
        <v>0.922330097087379</v>
      </c>
      <c r="G41" s="75" t="n">
        <f aca="false">(G40-F40)/F40</f>
        <v>0.691919191919192</v>
      </c>
      <c r="H41" s="75" t="n">
        <f aca="false">(H40-G40)/G40</f>
        <v>0.492537313432836</v>
      </c>
      <c r="I41" s="75" t="n">
        <f aca="false">(I40-H40)/H40</f>
        <v>0.3</v>
      </c>
    </row>
    <row r="43" customFormat="false" ht="15" hidden="false" customHeight="true" outlineLevel="0" collapsed="false">
      <c r="A43" s="26" t="s">
        <v>350</v>
      </c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</row>
    <row r="44" customFormat="false" ht="15" hidden="false" customHeight="true" outlineLevel="0" collapsed="false">
      <c r="A44" s="5" t="s">
        <v>351</v>
      </c>
      <c r="B44" s="57" t="s">
        <v>352</v>
      </c>
      <c r="C44" s="57" t="s">
        <v>353</v>
      </c>
      <c r="D44" s="57" t="s">
        <v>354</v>
      </c>
      <c r="E44" s="57" t="s">
        <v>355</v>
      </c>
      <c r="F44" s="57" t="s">
        <v>356</v>
      </c>
      <c r="G44" s="57" t="s">
        <v>357</v>
      </c>
      <c r="H44" s="57" t="s">
        <v>358</v>
      </c>
      <c r="I44" s="57" t="s">
        <v>359</v>
      </c>
      <c r="J44" s="57" t="s">
        <v>360</v>
      </c>
      <c r="K44" s="57" t="s">
        <v>361</v>
      </c>
      <c r="L44" s="57" t="s">
        <v>362</v>
      </c>
      <c r="M44" s="57" t="s">
        <v>363</v>
      </c>
      <c r="N44" s="58" t="s">
        <v>364</v>
      </c>
    </row>
    <row r="45" customFormat="false" ht="15" hidden="false" customHeight="true" outlineLevel="0" collapsed="false">
      <c r="A45" s="28" t="s">
        <v>365</v>
      </c>
      <c r="B45" s="42" t="n">
        <v>0.35</v>
      </c>
      <c r="C45" s="42" t="n">
        <v>0.7</v>
      </c>
      <c r="D45" s="29" t="n">
        <f aca="false">(E40-1.05)*0.03012</f>
        <v>3.070734</v>
      </c>
      <c r="E45" s="29" t="n">
        <f aca="false">(E40-1.05)*0.060241</f>
        <v>6.14156995</v>
      </c>
      <c r="F45" s="29" t="n">
        <f aca="false">(E40-1.05)*0.080321</f>
        <v>8.18872595</v>
      </c>
      <c r="G45" s="29" t="n">
        <f aca="false">(E40-1.05)*0.100402</f>
        <v>10.2359839</v>
      </c>
      <c r="H45" s="29" t="n">
        <f aca="false">(E40-1.05)*0.110442</f>
        <v>11.2595619</v>
      </c>
      <c r="I45" s="29" t="n">
        <f aca="false">(E40-1.05)*0.120482</f>
        <v>12.2831399</v>
      </c>
      <c r="J45" s="29" t="n">
        <f aca="false">(E40-1.05)*0.130522</f>
        <v>13.3067179</v>
      </c>
      <c r="K45" s="29" t="n">
        <f aca="false">(E40-1.05)*0.130522</f>
        <v>13.3067179</v>
      </c>
      <c r="L45" s="29" t="n">
        <f aca="false">(E40-1.05)*0.120482</f>
        <v>12.2831399</v>
      </c>
      <c r="M45" s="29" t="n">
        <f aca="false">(E40-1.05)*0.116466</f>
        <v>11.8737087</v>
      </c>
      <c r="N45" s="76" t="n">
        <f aca="false">SUM(B45:M45)</f>
        <v>103</v>
      </c>
    </row>
    <row r="46" customFormat="false" ht="15" hidden="false" customHeight="true" outlineLevel="0" collapsed="false">
      <c r="A46" s="4" t="s">
        <v>366</v>
      </c>
      <c r="N46" s="77" t="n">
        <f aca="false">N45-E40</f>
        <v>0</v>
      </c>
    </row>
    <row r="48" customFormat="false" ht="15" hidden="false" customHeight="true" outlineLevel="0" collapsed="false">
      <c r="A48" s="78" t="s">
        <v>367</v>
      </c>
    </row>
    <row r="49" customFormat="false" ht="15" hidden="false" customHeight="true" outlineLevel="0" collapsed="false">
      <c r="A49" s="8" t="s">
        <v>368</v>
      </c>
    </row>
    <row r="50" customFormat="false" ht="15" hidden="false" customHeight="true" outlineLevel="0" collapsed="false">
      <c r="A50" s="8" t="s">
        <v>369</v>
      </c>
    </row>
    <row r="51" customFormat="false" ht="15" hidden="false" customHeight="true" outlineLevel="0" collapsed="false">
      <c r="A51" s="8" t="s">
        <v>370</v>
      </c>
    </row>
    <row r="52" customFormat="false" ht="15" hidden="false" customHeight="true" outlineLevel="0" collapsed="false">
      <c r="A52" s="8" t="s">
        <v>371</v>
      </c>
    </row>
    <row r="53" customFormat="false" ht="15" hidden="false" customHeight="true" outlineLevel="0" collapsed="false">
      <c r="A53" s="8" t="s">
        <v>372</v>
      </c>
    </row>
    <row r="54" customFormat="false" ht="15" hidden="false" customHeight="true" outlineLevel="0" collapsed="false">
      <c r="A54" s="8" t="s">
        <v>373</v>
      </c>
    </row>
    <row r="55" customFormat="false" ht="15" hidden="false" customHeight="true" outlineLevel="0" collapsed="false">
      <c r="A55" s="8" t="s">
        <v>374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3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42"/>
    <col collapsed="false" customWidth="true" hidden="false" outlineLevel="0" max="8" min="2" style="1" width="11"/>
    <col collapsed="false" customWidth="true" hidden="false" outlineLevel="0" max="9" min="9" style="1" width="36"/>
  </cols>
  <sheetData>
    <row r="1" customFormat="false" ht="15.75" hidden="false" customHeight="true" outlineLevel="0" collapsed="false">
      <c r="A1" s="17" t="s">
        <v>375</v>
      </c>
    </row>
    <row r="2" customFormat="false" ht="15" hidden="false" customHeight="true" outlineLevel="0" collapsed="false">
      <c r="A2" s="4" t="s">
        <v>376</v>
      </c>
    </row>
    <row r="3" customFormat="false" ht="15" hidden="false" customHeight="true" outlineLevel="0" collapsed="false">
      <c r="A3" s="56" t="s">
        <v>377</v>
      </c>
    </row>
    <row r="5" customFormat="false" ht="15" hidden="false" customHeight="true" outlineLevel="0" collapsed="false">
      <c r="A5" s="5" t="s">
        <v>378</v>
      </c>
      <c r="B5" s="57" t="s">
        <v>301</v>
      </c>
      <c r="C5" s="57" t="s">
        <v>302</v>
      </c>
      <c r="D5" s="57" t="s">
        <v>303</v>
      </c>
      <c r="E5" s="57" t="s">
        <v>304</v>
      </c>
      <c r="F5" s="57" t="s">
        <v>305</v>
      </c>
      <c r="G5" s="57" t="s">
        <v>306</v>
      </c>
      <c r="H5" s="6"/>
      <c r="I5" s="5" t="s">
        <v>379</v>
      </c>
    </row>
    <row r="7" customFormat="false" ht="15" hidden="false" customHeight="true" outlineLevel="0" collapsed="false">
      <c r="A7" s="26" t="s">
        <v>380</v>
      </c>
      <c r="B7" s="27"/>
      <c r="C7" s="27"/>
      <c r="D7" s="27"/>
      <c r="E7" s="27"/>
      <c r="F7" s="27"/>
      <c r="G7" s="27"/>
      <c r="H7" s="27"/>
      <c r="I7" s="27"/>
    </row>
    <row r="8" customFormat="false" ht="15" hidden="false" customHeight="true" outlineLevel="0" collapsed="false">
      <c r="A8" s="28" t="s">
        <v>381</v>
      </c>
      <c r="B8" s="42" t="n">
        <v>51.01</v>
      </c>
      <c r="C8" s="60" t="n">
        <f aca="false">CHOOSE(Assumptions!$B$3,Revenue!E10+Revenue!E13+Revenue!E15+Revenue!E16,Revenue!E20+Revenue!E23+Revenue!E25+Revenue!E26,Revenue!E30+Revenue!E33+Revenue!E35+Revenue!E36)</f>
        <v>99</v>
      </c>
      <c r="D8" s="60" t="n">
        <f aca="false">CHOOSE(Assumptions!$B$3,Revenue!F10+Revenue!F13+Revenue!F15+Revenue!F16,Revenue!F20+Revenue!F23+Revenue!F25+Revenue!F26,Revenue!F30+Revenue!F33+Revenue!F35+Revenue!F36)</f>
        <v>163</v>
      </c>
      <c r="E8" s="60" t="n">
        <f aca="false">CHOOSE(Assumptions!$B$3,Revenue!G10+Revenue!G13+Revenue!G15+Revenue!G16,Revenue!G20+Revenue!G23+Revenue!G25+Revenue!G26,Revenue!G30+Revenue!G33+Revenue!G35+Revenue!G36)</f>
        <v>245</v>
      </c>
      <c r="F8" s="60" t="n">
        <f aca="false">CHOOSE(Assumptions!$B$3,Revenue!H10+Revenue!H13+Revenue!H15+Revenue!H16,Revenue!H20+Revenue!H23+Revenue!H25+Revenue!H26,Revenue!H30+Revenue!H33+Revenue!H35+Revenue!H36)</f>
        <v>340</v>
      </c>
      <c r="G8" s="60" t="n">
        <f aca="false">CHOOSE(Assumptions!$B$3,Revenue!I10+Revenue!I13+Revenue!I15+Revenue!I16,Revenue!I20+Revenue!I23+Revenue!I25+Revenue!I26,Revenue!I30+Revenue!I33+Revenue!I35+Revenue!I36)</f>
        <v>435</v>
      </c>
      <c r="I8" s="31" t="s">
        <v>382</v>
      </c>
    </row>
    <row r="9" customFormat="false" ht="15" hidden="false" customHeight="true" outlineLevel="0" collapsed="false">
      <c r="A9" s="28" t="s">
        <v>383</v>
      </c>
      <c r="B9" s="79" t="n">
        <v>0</v>
      </c>
      <c r="C9" s="60" t="n">
        <f aca="false">CHOOSE(Assumptions!$B$3,Revenue!E11+Revenue!E10*0.15,Revenue!E21+Revenue!E20*0.15,Revenue!E31+Revenue!E30*0.15)</f>
        <v>15.85</v>
      </c>
      <c r="D9" s="60" t="n">
        <f aca="false">CHOOSE(Assumptions!$B$3,Revenue!F11+Revenue!F10*0.15,Revenue!F21+Revenue!F20*0.15,Revenue!F31+Revenue!F30*0.15)</f>
        <v>38.25</v>
      </c>
      <c r="E9" s="60" t="n">
        <f aca="false">CHOOSE(Assumptions!$B$3,Revenue!G11+Revenue!G10*0.15,Revenue!G21+Revenue!G20*0.15,Revenue!G31+Revenue!G30*0.15)</f>
        <v>73</v>
      </c>
      <c r="F9" s="60" t="n">
        <f aca="false">CHOOSE(Assumptions!$B$3,Revenue!H11+Revenue!H10*0.15,Revenue!H21+Revenue!H20*0.15,Revenue!H31+Revenue!H30*0.15)</f>
        <v>118.5</v>
      </c>
      <c r="G9" s="60" t="n">
        <f aca="false">CHOOSE(Assumptions!$B$3,Revenue!I11+Revenue!I10*0.15,Revenue!I21+Revenue!I20*0.15,Revenue!I31+Revenue!I30*0.15)</f>
        <v>154.75</v>
      </c>
      <c r="I9" s="31" t="s">
        <v>384</v>
      </c>
    </row>
    <row r="10" customFormat="false" ht="15" hidden="false" customHeight="true" outlineLevel="0" collapsed="false">
      <c r="A10" s="28" t="s">
        <v>385</v>
      </c>
      <c r="B10" s="79" t="n">
        <v>0</v>
      </c>
      <c r="C10" s="60" t="n">
        <f aca="false">CHOOSE(Assumptions!$B$3,Revenue!E12+Revenue!E10*0.12,Revenue!E22+Revenue!E20*0.12,Revenue!E32+Revenue!E30*0.12)</f>
        <v>14.88</v>
      </c>
      <c r="D10" s="60" t="n">
        <f aca="false">CHOOSE(Assumptions!$B$3,Revenue!F12+Revenue!F10*0.12,Revenue!F22+Revenue!F20*0.12,Revenue!F32+Revenue!F30*0.12)</f>
        <v>33.6</v>
      </c>
      <c r="E10" s="60" t="n">
        <f aca="false">CHOOSE(Assumptions!$B$3,Revenue!G12+Revenue!G10*0.12,Revenue!G22+Revenue!G20*0.12,Revenue!G32+Revenue!G30*0.12)</f>
        <v>61.4</v>
      </c>
      <c r="F10" s="60" t="n">
        <f aca="false">CHOOSE(Assumptions!$B$3,Revenue!H12+Revenue!H10*0.12,Revenue!H22+Revenue!H20*0.12,Revenue!H32+Revenue!H30*0.12)</f>
        <v>94.8</v>
      </c>
      <c r="G10" s="60" t="n">
        <f aca="false">CHOOSE(Assumptions!$B$3,Revenue!I12+Revenue!I10*0.12,Revenue!I22+Revenue!I20*0.12,Revenue!I32+Revenue!I30*0.12)</f>
        <v>123.8</v>
      </c>
      <c r="I10" s="31" t="s">
        <v>386</v>
      </c>
    </row>
    <row r="11" customFormat="false" ht="15" hidden="false" customHeight="true" outlineLevel="0" collapsed="false">
      <c r="A11" s="28" t="s">
        <v>387</v>
      </c>
      <c r="B11" s="79" t="n">
        <v>0</v>
      </c>
      <c r="C11" s="60" t="n">
        <f aca="false">CHOOSE(Assumptions!$B$3,Revenue!E14,Revenue!E24,Revenue!E34)</f>
        <v>0</v>
      </c>
      <c r="D11" s="60" t="n">
        <f aca="false">CHOOSE(Assumptions!$B$3,Revenue!F14,Revenue!F24,Revenue!F34)</f>
        <v>5</v>
      </c>
      <c r="E11" s="60" t="n">
        <f aca="false">CHOOSE(Assumptions!$B$3,Revenue!G14,Revenue!G24,Revenue!G34)</f>
        <v>15</v>
      </c>
      <c r="F11" s="60" t="n">
        <f aca="false">CHOOSE(Assumptions!$B$3,Revenue!H14,Revenue!H24,Revenue!H34)</f>
        <v>25</v>
      </c>
      <c r="G11" s="60" t="n">
        <f aca="false">CHOOSE(Assumptions!$B$3,Revenue!I14,Revenue!I24,Revenue!I34)</f>
        <v>35</v>
      </c>
      <c r="I11" s="31" t="s">
        <v>388</v>
      </c>
    </row>
    <row r="12" customFormat="false" ht="15" hidden="false" customHeight="true" outlineLevel="0" collapsed="false">
      <c r="A12" s="10" t="s">
        <v>389</v>
      </c>
      <c r="B12" s="30" t="n">
        <f aca="false">SUM(B8:B11)</f>
        <v>51.01</v>
      </c>
      <c r="C12" s="74" t="n">
        <f aca="false">SUM(C8:C11)</f>
        <v>129.73</v>
      </c>
      <c r="D12" s="74" t="n">
        <f aca="false">SUM(D8:D11)</f>
        <v>239.85</v>
      </c>
      <c r="E12" s="74" t="n">
        <f aca="false">SUM(E8:E11)</f>
        <v>394.4</v>
      </c>
      <c r="F12" s="74" t="n">
        <f aca="false">SUM(F8:F11)</f>
        <v>578.3</v>
      </c>
      <c r="G12" s="74" t="n">
        <f aca="false">SUM(G8:G11)</f>
        <v>748.55</v>
      </c>
    </row>
    <row r="13" customFormat="false" ht="15" hidden="false" customHeight="true" outlineLevel="0" collapsed="false">
      <c r="A13" s="80" t="s">
        <v>390</v>
      </c>
      <c r="B13" s="81" t="n">
        <v>0</v>
      </c>
      <c r="C13" s="81" t="n">
        <f aca="false">-CHOOSE(Assumptions!$B$3,Revenue!E10*0.27,Revenue!E20*0.27,Revenue!E30*0.27)</f>
        <v>-26.73</v>
      </c>
      <c r="D13" s="81" t="n">
        <f aca="false">-CHOOSE(Assumptions!$B$3,Revenue!F10*0.27,Revenue!F20*0.27,Revenue!F30*0.27)</f>
        <v>-41.85</v>
      </c>
      <c r="E13" s="81" t="n">
        <f aca="false">-CHOOSE(Assumptions!$B$3,Revenue!G10*0.27,Revenue!G20*0.27,Revenue!G30*0.27)</f>
        <v>-59.4</v>
      </c>
      <c r="F13" s="81" t="n">
        <f aca="false">-CHOOSE(Assumptions!$B$3,Revenue!H10*0.27,Revenue!H20*0.27,Revenue!H30*0.27)</f>
        <v>-78.3</v>
      </c>
      <c r="G13" s="81" t="n">
        <f aca="false">-CHOOSE(Assumptions!$B$3,Revenue!I10*0.27,Revenue!I20*0.27,Revenue!I30*0.27)</f>
        <v>-98.55</v>
      </c>
      <c r="I13" s="35" t="s">
        <v>391</v>
      </c>
    </row>
    <row r="15" customFormat="false" ht="15" hidden="false" customHeight="true" outlineLevel="0" collapsed="false">
      <c r="A15" s="47" t="s">
        <v>392</v>
      </c>
      <c r="B15" s="52"/>
      <c r="C15" s="52"/>
      <c r="D15" s="52"/>
      <c r="E15" s="52"/>
      <c r="F15" s="52"/>
      <c r="G15" s="52"/>
      <c r="H15" s="52"/>
      <c r="I15" s="52"/>
    </row>
    <row r="16" customFormat="false" ht="15" hidden="false" customHeight="true" outlineLevel="0" collapsed="false">
      <c r="A16" s="10" t="s">
        <v>393</v>
      </c>
      <c r="B16" s="59" t="n">
        <v>51.01</v>
      </c>
      <c r="C16" s="82" t="n">
        <f aca="false">CHOOSE(Assumptions!$B$3,Revenue!E17,Revenue!E27,Revenue!E37)</f>
        <v>103</v>
      </c>
      <c r="D16" s="82" t="n">
        <f aca="false">CHOOSE(Assumptions!$B$3,Revenue!F17,Revenue!F27,Revenue!F37)</f>
        <v>198</v>
      </c>
      <c r="E16" s="82" t="n">
        <f aca="false">CHOOSE(Assumptions!$B$3,Revenue!G17,Revenue!G27,Revenue!G37)</f>
        <v>335</v>
      </c>
      <c r="F16" s="82" t="n">
        <f aca="false">CHOOSE(Assumptions!$B$3,Revenue!H17,Revenue!H27,Revenue!H37)</f>
        <v>500</v>
      </c>
      <c r="G16" s="82" t="n">
        <f aca="false">CHOOSE(Assumptions!$B$3,Revenue!I17,Revenue!I27,Revenue!I37)</f>
        <v>650</v>
      </c>
    </row>
    <row r="17" customFormat="false" ht="15" hidden="false" customHeight="true" outlineLevel="0" collapsed="false">
      <c r="A17" s="4" t="s">
        <v>394</v>
      </c>
      <c r="B17" s="77" t="n">
        <f aca="false">B12+B13</f>
        <v>51.01</v>
      </c>
      <c r="C17" s="83" t="n">
        <f aca="false">C12+C13</f>
        <v>103</v>
      </c>
      <c r="D17" s="83" t="n">
        <f aca="false">D12+D13</f>
        <v>198</v>
      </c>
      <c r="E17" s="83" t="n">
        <f aca="false">E12+E13</f>
        <v>335</v>
      </c>
      <c r="F17" s="83" t="n">
        <f aca="false">F12+F13</f>
        <v>500</v>
      </c>
      <c r="G17" s="83" t="n">
        <f aca="false">G12+G13</f>
        <v>650</v>
      </c>
    </row>
    <row r="18" customFormat="false" ht="15" hidden="false" customHeight="true" outlineLevel="0" collapsed="false">
      <c r="A18" s="56" t="s">
        <v>395</v>
      </c>
      <c r="B18" s="84" t="n">
        <f aca="false">B17-B16</f>
        <v>0</v>
      </c>
      <c r="C18" s="85" t="n">
        <f aca="false">C17-C16</f>
        <v>0</v>
      </c>
      <c r="D18" s="85" t="n">
        <f aca="false">D17-D16</f>
        <v>0</v>
      </c>
      <c r="E18" s="85" t="n">
        <f aca="false">E17-E16</f>
        <v>0</v>
      </c>
      <c r="F18" s="85" t="n">
        <f aca="false">F17-F16</f>
        <v>0</v>
      </c>
      <c r="G18" s="85" t="n">
        <f aca="false">G17-G16</f>
        <v>0</v>
      </c>
    </row>
    <row r="20" customFormat="false" ht="15" hidden="false" customHeight="true" outlineLevel="0" collapsed="false">
      <c r="A20" s="26" t="s">
        <v>396</v>
      </c>
      <c r="B20" s="27"/>
      <c r="C20" s="27"/>
      <c r="D20" s="27"/>
      <c r="E20" s="27"/>
      <c r="F20" s="27"/>
      <c r="G20" s="27"/>
      <c r="H20" s="27"/>
      <c r="I20" s="27"/>
    </row>
    <row r="21" customFormat="false" ht="15" hidden="false" customHeight="true" outlineLevel="0" collapsed="false">
      <c r="A21" s="28" t="s">
        <v>397</v>
      </c>
      <c r="G21" s="86" t="n">
        <f aca="false">G8</f>
        <v>435</v>
      </c>
      <c r="I21" s="31" t="s">
        <v>398</v>
      </c>
    </row>
    <row r="22" customFormat="false" ht="15" hidden="false" customHeight="true" outlineLevel="0" collapsed="false">
      <c r="A22" s="28" t="s">
        <v>399</v>
      </c>
      <c r="G22" s="86" t="n">
        <f aca="false">G9</f>
        <v>154.75</v>
      </c>
      <c r="I22" s="31" t="s">
        <v>400</v>
      </c>
    </row>
    <row r="23" customFormat="false" ht="15" hidden="false" customHeight="true" outlineLevel="0" collapsed="false">
      <c r="A23" s="28" t="s">
        <v>401</v>
      </c>
      <c r="G23" s="86" t="n">
        <f aca="false">G10</f>
        <v>123.8</v>
      </c>
      <c r="I23" s="31" t="s">
        <v>402</v>
      </c>
    </row>
    <row r="25" customFormat="false" ht="15" hidden="false" customHeight="true" outlineLevel="0" collapsed="false">
      <c r="A25" s="78" t="s">
        <v>403</v>
      </c>
    </row>
    <row r="26" customFormat="false" ht="15" hidden="false" customHeight="true" outlineLevel="0" collapsed="false">
      <c r="A26" s="13" t="s">
        <v>404</v>
      </c>
      <c r="B26" s="13"/>
      <c r="C26" s="13"/>
      <c r="D26" s="13"/>
      <c r="E26" s="13"/>
      <c r="F26" s="13"/>
      <c r="G26" s="13"/>
      <c r="H26" s="13"/>
      <c r="I26" s="13"/>
    </row>
    <row r="27" customFormat="false" ht="15" hidden="false" customHeight="true" outlineLevel="0" collapsed="false">
      <c r="A27" s="13" t="s">
        <v>405</v>
      </c>
      <c r="B27" s="13"/>
      <c r="C27" s="13"/>
      <c r="D27" s="13"/>
      <c r="E27" s="13"/>
      <c r="F27" s="13"/>
      <c r="G27" s="13"/>
      <c r="H27" s="13"/>
      <c r="I27" s="13"/>
    </row>
    <row r="28" customFormat="false" ht="15" hidden="false" customHeight="true" outlineLevel="0" collapsed="false">
      <c r="A28" s="13" t="s">
        <v>406</v>
      </c>
      <c r="B28" s="13"/>
      <c r="C28" s="13"/>
      <c r="D28" s="13"/>
      <c r="E28" s="13"/>
      <c r="F28" s="13"/>
      <c r="G28" s="13"/>
      <c r="H28" s="13"/>
      <c r="I28" s="13"/>
    </row>
    <row r="29" customFormat="false" ht="15" hidden="false" customHeight="true" outlineLevel="0" collapsed="false">
      <c r="A29" s="13" t="s">
        <v>407</v>
      </c>
      <c r="B29" s="13"/>
      <c r="C29" s="13"/>
      <c r="D29" s="13"/>
      <c r="E29" s="13"/>
      <c r="F29" s="13"/>
      <c r="G29" s="13"/>
      <c r="H29" s="13"/>
      <c r="I29" s="13"/>
    </row>
    <row r="30" customFormat="false" ht="15" hidden="false" customHeight="true" outlineLevel="0" collapsed="false">
      <c r="A30" s="13" t="s">
        <v>408</v>
      </c>
      <c r="B30" s="13"/>
      <c r="C30" s="13"/>
      <c r="D30" s="13"/>
      <c r="E30" s="13"/>
      <c r="F30" s="13"/>
      <c r="G30" s="13"/>
      <c r="H30" s="13"/>
      <c r="I30" s="13"/>
    </row>
  </sheetData>
  <mergeCells count="5">
    <mergeCell ref="A26:I26"/>
    <mergeCell ref="A27:I27"/>
    <mergeCell ref="A28:I28"/>
    <mergeCell ref="A29:I29"/>
    <mergeCell ref="A30:I30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23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5" topLeftCell="B6" activePane="bottomRight" state="frozen"/>
      <selection pane="topLeft" activeCell="A1" activeCellId="0" sqref="A1"/>
      <selection pane="topRight" activeCell="B1" activeCellId="0" sqref="B1"/>
      <selection pane="bottomLeft" activeCell="A6" activeCellId="0" sqref="A6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4"/>
    <col collapsed="false" customWidth="true" hidden="false" outlineLevel="0" max="9" min="2" style="1" width="11"/>
  </cols>
  <sheetData>
    <row r="1" customFormat="false" ht="15.75" hidden="false" customHeight="true" outlineLevel="0" collapsed="false">
      <c r="A1" s="17" t="s">
        <v>409</v>
      </c>
    </row>
    <row r="2" customFormat="false" ht="15" hidden="false" customHeight="true" outlineLevel="0" collapsed="false">
      <c r="A2" s="87" t="str">
        <f aca="false">CONCATENATE("Scenario: ",Assumptions!B4)</f>
        <v>Scenario: BASE CASE — FY31 ₹650 Cr</v>
      </c>
    </row>
    <row r="4" customFormat="false" ht="15" hidden="false" customHeight="true" outlineLevel="0" collapsed="false">
      <c r="A4" s="5" t="s">
        <v>270</v>
      </c>
      <c r="B4" s="18" t="s">
        <v>410</v>
      </c>
      <c r="C4" s="18" t="s">
        <v>411</v>
      </c>
      <c r="D4" s="18" t="s">
        <v>412</v>
      </c>
      <c r="E4" s="18" t="s">
        <v>302</v>
      </c>
      <c r="F4" s="18" t="s">
        <v>303</v>
      </c>
      <c r="G4" s="18" t="s">
        <v>304</v>
      </c>
      <c r="H4" s="18" t="s">
        <v>305</v>
      </c>
      <c r="I4" s="18" t="s">
        <v>306</v>
      </c>
    </row>
    <row r="5" customFormat="false" ht="15" hidden="false" customHeight="true" outlineLevel="0" collapsed="false">
      <c r="B5" s="88" t="s">
        <v>413</v>
      </c>
      <c r="C5" s="88" t="s">
        <v>413</v>
      </c>
      <c r="D5" s="89" t="s">
        <v>414</v>
      </c>
      <c r="F5" s="90" t="s">
        <v>415</v>
      </c>
      <c r="G5" s="90" t="s">
        <v>415</v>
      </c>
      <c r="H5" s="90" t="s">
        <v>415</v>
      </c>
      <c r="I5" s="90" t="s">
        <v>415</v>
      </c>
    </row>
    <row r="6" customFormat="false" ht="15" hidden="false" customHeight="true" outlineLevel="0" collapsed="false">
      <c r="A6" s="10" t="s">
        <v>416</v>
      </c>
      <c r="B6" s="29" t="n">
        <v>11.66</v>
      </c>
      <c r="C6" s="29" t="n">
        <v>17.34</v>
      </c>
      <c r="D6" s="39" t="n">
        <v>51.01</v>
      </c>
      <c r="E6" s="42" t="n">
        <f aca="false">Revenue!E40</f>
        <v>103</v>
      </c>
      <c r="F6" s="42" t="n">
        <f aca="false">Revenue!F40</f>
        <v>198</v>
      </c>
      <c r="G6" s="42" t="n">
        <f aca="false">Revenue!G40</f>
        <v>335</v>
      </c>
      <c r="H6" s="42" t="n">
        <f aca="false">Revenue!H40</f>
        <v>500</v>
      </c>
      <c r="I6" s="42" t="n">
        <f aca="false">Revenue!I40</f>
        <v>650</v>
      </c>
    </row>
    <row r="7" customFormat="false" ht="15" hidden="false" customHeight="true" outlineLevel="0" collapsed="false">
      <c r="A7" s="28" t="s">
        <v>417</v>
      </c>
      <c r="B7" s="29" t="n">
        <v>4.9</v>
      </c>
      <c r="C7" s="29" t="n">
        <v>5.67</v>
      </c>
      <c r="D7" s="41" t="n">
        <f aca="false">D6*0.33</f>
        <v>16.8333</v>
      </c>
      <c r="E7" s="42" t="n">
        <f aca="false">E6*'COGS Engine'!B18</f>
        <v>44.9026974010925</v>
      </c>
      <c r="F7" s="41" t="n">
        <f aca="false">F6*Assumptions!$E$21</f>
        <v>91.08</v>
      </c>
      <c r="G7" s="41" t="n">
        <f aca="false">G6*Assumptions!$E$21</f>
        <v>154.1</v>
      </c>
      <c r="H7" s="41" t="n">
        <f aca="false">H6*Assumptions!$E$21</f>
        <v>230</v>
      </c>
      <c r="I7" s="41" t="n">
        <f aca="false">I6*Assumptions!$E$21</f>
        <v>299</v>
      </c>
    </row>
    <row r="8" customFormat="false" ht="15" hidden="false" customHeight="true" outlineLevel="0" collapsed="false">
      <c r="A8" s="28" t="s">
        <v>418</v>
      </c>
      <c r="B8" s="29" t="n">
        <v>0.66</v>
      </c>
      <c r="C8" s="29" t="n">
        <v>0.94</v>
      </c>
      <c r="D8" s="41" t="n">
        <f aca="false">D6*0.055</f>
        <v>2.80555</v>
      </c>
      <c r="E8" s="41" t="n">
        <f aca="false">E6*Assumptions!$E$22</f>
        <v>6.18</v>
      </c>
      <c r="F8" s="41" t="n">
        <f aca="false">F6*Assumptions!$E$22</f>
        <v>11.88</v>
      </c>
      <c r="G8" s="41" t="n">
        <f aca="false">G6*Assumptions!$E$22</f>
        <v>20.1</v>
      </c>
      <c r="H8" s="41" t="n">
        <f aca="false">H6*Assumptions!$E$22</f>
        <v>30</v>
      </c>
      <c r="I8" s="41" t="n">
        <f aca="false">I6*Assumptions!$E$22</f>
        <v>39</v>
      </c>
    </row>
    <row r="9" customFormat="false" ht="15" hidden="false" customHeight="true" outlineLevel="0" collapsed="false">
      <c r="A9" s="44" t="s">
        <v>419</v>
      </c>
      <c r="B9" s="45" t="n">
        <f aca="false">B6-B7-B8</f>
        <v>6.1</v>
      </c>
      <c r="C9" s="45" t="n">
        <f aca="false">C6-C7-C8</f>
        <v>10.73</v>
      </c>
      <c r="D9" s="45" t="n">
        <f aca="false">D6-D7-D8</f>
        <v>31.37115</v>
      </c>
      <c r="E9" s="45" t="n">
        <f aca="false">E6-E7-E8</f>
        <v>51.9173025989075</v>
      </c>
      <c r="F9" s="45" t="n">
        <f aca="false">F6-F7-F8</f>
        <v>95.04</v>
      </c>
      <c r="G9" s="45" t="n">
        <f aca="false">G6-G7-G8</f>
        <v>160.8</v>
      </c>
      <c r="H9" s="45" t="n">
        <f aca="false">H6-H7-H8</f>
        <v>240</v>
      </c>
      <c r="I9" s="45" t="n">
        <f aca="false">I6-I7-I8</f>
        <v>312</v>
      </c>
    </row>
    <row r="10" customFormat="false" ht="15" hidden="false" customHeight="true" outlineLevel="0" collapsed="false">
      <c r="A10" s="28" t="s">
        <v>420</v>
      </c>
      <c r="B10" s="29" t="n">
        <v>0.66</v>
      </c>
      <c r="C10" s="29" t="n">
        <v>1.55</v>
      </c>
      <c r="D10" s="91" t="n">
        <v>1.65</v>
      </c>
      <c r="E10" s="42" t="n">
        <f aca="false">Assumptions!$E$23</f>
        <v>3.75</v>
      </c>
      <c r="F10" s="41" t="n">
        <f aca="false">E10*(1+Assumptions!$E$24)</f>
        <v>4.875</v>
      </c>
      <c r="G10" s="41" t="n">
        <f aca="false">F10*(1+Assumptions!$E$24)</f>
        <v>6.3375</v>
      </c>
      <c r="H10" s="41" t="n">
        <f aca="false">G10*(1+Assumptions!$E$24)</f>
        <v>8.23875</v>
      </c>
      <c r="I10" s="41" t="n">
        <f aca="false">H10*(1+Assumptions!$E$24)</f>
        <v>10.710375</v>
      </c>
    </row>
    <row r="11" customFormat="false" ht="15" hidden="false" customHeight="true" outlineLevel="0" collapsed="false">
      <c r="A11" s="28" t="s">
        <v>421</v>
      </c>
      <c r="B11" s="29" t="n">
        <v>1.54</v>
      </c>
      <c r="C11" s="29" t="n">
        <v>2.19</v>
      </c>
      <c r="D11" s="91" t="n">
        <v>2</v>
      </c>
      <c r="E11" s="41" t="n">
        <f aca="false">Assumptions!$E$25+E6*Assumptions!$E$26</f>
        <v>6.06</v>
      </c>
      <c r="F11" s="41" t="n">
        <f aca="false">Assumptions!$E$25+F6*Assumptions!$E$26</f>
        <v>7.96</v>
      </c>
      <c r="G11" s="41" t="n">
        <f aca="false">Assumptions!$E$25+G6*Assumptions!$E$26</f>
        <v>10.7</v>
      </c>
      <c r="H11" s="41" t="n">
        <f aca="false">Assumptions!$E$25+H6*Assumptions!$E$26</f>
        <v>14</v>
      </c>
      <c r="I11" s="41" t="n">
        <f aca="false">Assumptions!$E$25+I6*Assumptions!$E$26</f>
        <v>17</v>
      </c>
    </row>
    <row r="12" customFormat="false" ht="15" hidden="false" customHeight="true" outlineLevel="0" collapsed="false">
      <c r="A12" s="44" t="s">
        <v>422</v>
      </c>
      <c r="B12" s="45" t="n">
        <f aca="false">B9-B10-B11</f>
        <v>3.9</v>
      </c>
      <c r="C12" s="45" t="n">
        <f aca="false">C9-C10-C11</f>
        <v>6.99</v>
      </c>
      <c r="D12" s="45" t="n">
        <f aca="false">D9-D10-D11</f>
        <v>27.72115</v>
      </c>
      <c r="E12" s="45" t="n">
        <f aca="false">E9-E10-E11</f>
        <v>42.1073025989075</v>
      </c>
      <c r="F12" s="45" t="n">
        <f aca="false">F9-F10-F11</f>
        <v>82.205</v>
      </c>
      <c r="G12" s="45" t="n">
        <f aca="false">G9-G10-G11</f>
        <v>143.7625</v>
      </c>
      <c r="H12" s="45" t="n">
        <f aca="false">H9-H10-H11</f>
        <v>217.76125</v>
      </c>
      <c r="I12" s="45" t="n">
        <f aca="false">I9-I10-I11</f>
        <v>284.289625</v>
      </c>
    </row>
    <row r="13" customFormat="false" ht="15" hidden="false" customHeight="true" outlineLevel="0" collapsed="false">
      <c r="A13" s="28" t="s">
        <v>423</v>
      </c>
      <c r="B13" s="92" t="n">
        <f aca="false">B12/B6</f>
        <v>0.334476843910806</v>
      </c>
      <c r="C13" s="92" t="n">
        <f aca="false">C12/C6</f>
        <v>0.403114186851211</v>
      </c>
      <c r="D13" s="92" t="n">
        <f aca="false">D12/D6</f>
        <v>0.543445402862184</v>
      </c>
      <c r="E13" s="92" t="n">
        <f aca="false">E12/E6</f>
        <v>0.408808763096189</v>
      </c>
      <c r="F13" s="92" t="n">
        <f aca="false">F12/F6</f>
        <v>0.415176767676768</v>
      </c>
      <c r="G13" s="92" t="n">
        <f aca="false">G12/G6</f>
        <v>0.429141791044776</v>
      </c>
      <c r="H13" s="92" t="n">
        <f aca="false">H12/H6</f>
        <v>0.4355225</v>
      </c>
      <c r="I13" s="92" t="n">
        <f aca="false">I12/I6</f>
        <v>0.437368653846154</v>
      </c>
    </row>
    <row r="14" customFormat="false" ht="15" hidden="false" customHeight="true" outlineLevel="0" collapsed="false">
      <c r="A14" s="28" t="s">
        <v>424</v>
      </c>
      <c r="B14" s="29" t="n">
        <v>0.61</v>
      </c>
      <c r="C14" s="29" t="n">
        <v>0.54</v>
      </c>
      <c r="D14" s="29" t="n">
        <v>0.5</v>
      </c>
      <c r="E14" s="42" t="n">
        <f aca="false">0.5+'Cash Flow'!C$8*Assumptions!$E$27</f>
        <v>2.75</v>
      </c>
      <c r="F14" s="42" t="n">
        <f aca="false">0.5+'Cash Flow'!D$8*Assumptions!$E$27</f>
        <v>3.047</v>
      </c>
      <c r="G14" s="42" t="n">
        <f aca="false">0.5+'Cash Flow'!E$8*Assumptions!$E$27</f>
        <v>3.5495</v>
      </c>
      <c r="H14" s="42" t="n">
        <f aca="false">0.5+'Cash Flow'!F$8*Assumptions!$E$27</f>
        <v>4.2995</v>
      </c>
      <c r="I14" s="42" t="n">
        <f aca="false">0.5+'Cash Flow'!G$8*Assumptions!$E$27</f>
        <v>5.2745</v>
      </c>
    </row>
    <row r="15" customFormat="false" ht="15" hidden="false" customHeight="true" outlineLevel="0" collapsed="false">
      <c r="A15" s="10" t="s">
        <v>425</v>
      </c>
      <c r="B15" s="30" t="n">
        <f aca="false">B12-B14</f>
        <v>3.29</v>
      </c>
      <c r="C15" s="30" t="n">
        <f aca="false">C12-C14</f>
        <v>6.45</v>
      </c>
      <c r="D15" s="30" t="n">
        <f aca="false">D12-D14</f>
        <v>27.22115</v>
      </c>
      <c r="E15" s="30" t="n">
        <f aca="false">E12-E14</f>
        <v>39.3573025989075</v>
      </c>
      <c r="F15" s="30" t="n">
        <f aca="false">F12-F14</f>
        <v>79.158</v>
      </c>
      <c r="G15" s="30" t="n">
        <f aca="false">G12-G14</f>
        <v>140.213</v>
      </c>
      <c r="H15" s="30" t="n">
        <f aca="false">H12-H14</f>
        <v>213.46175</v>
      </c>
      <c r="I15" s="30" t="n">
        <f aca="false">I12-I14</f>
        <v>279.015125</v>
      </c>
    </row>
    <row r="16" customFormat="false" ht="15" hidden="false" customHeight="true" outlineLevel="0" collapsed="false">
      <c r="A16" s="28" t="s">
        <v>426</v>
      </c>
      <c r="B16" s="29" t="n">
        <v>0.15</v>
      </c>
      <c r="C16" s="29" t="n">
        <v>0.43</v>
      </c>
      <c r="D16" s="42" t="n">
        <f aca="false">Debt!B$11</f>
        <v>0.02916</v>
      </c>
      <c r="E16" s="42" t="n">
        <f aca="false">Debt!C$11</f>
        <v>0.9</v>
      </c>
      <c r="F16" s="42" t="n">
        <f aca="false">Debt!D$11</f>
        <v>1.8</v>
      </c>
      <c r="G16" s="42" t="n">
        <f aca="false">Debt!E$11</f>
        <v>1.44</v>
      </c>
      <c r="H16" s="42" t="n">
        <f aca="false">Debt!F$11</f>
        <v>1.08</v>
      </c>
      <c r="I16" s="42" t="n">
        <f aca="false">Debt!G$11</f>
        <v>0.72</v>
      </c>
    </row>
    <row r="17" customFormat="false" ht="15" hidden="false" customHeight="true" outlineLevel="0" collapsed="false">
      <c r="A17" s="93" t="s">
        <v>427</v>
      </c>
      <c r="B17" s="94" t="n">
        <v>0</v>
      </c>
      <c r="C17" s="91" t="n">
        <v>0.6</v>
      </c>
      <c r="D17" s="91" t="n">
        <v>0.4</v>
      </c>
      <c r="E17" s="94" t="n">
        <v>0</v>
      </c>
      <c r="F17" s="94" t="n">
        <v>0</v>
      </c>
      <c r="G17" s="94" t="n">
        <v>0</v>
      </c>
      <c r="H17" s="94" t="n">
        <v>0</v>
      </c>
      <c r="I17" s="94" t="n">
        <v>0</v>
      </c>
    </row>
    <row r="18" customFormat="false" ht="15" hidden="false" customHeight="true" outlineLevel="0" collapsed="false">
      <c r="A18" s="78" t="s">
        <v>428</v>
      </c>
      <c r="B18" s="95" t="n">
        <v>3.14</v>
      </c>
      <c r="C18" s="95" t="n">
        <v>6.62</v>
      </c>
      <c r="D18" s="95" t="n">
        <v>27</v>
      </c>
      <c r="E18" s="95" t="n">
        <f aca="false">E15+E17-E16</f>
        <v>38.4573025989075</v>
      </c>
      <c r="F18" s="95" t="n">
        <f aca="false">F15+F17-F16</f>
        <v>77.358</v>
      </c>
      <c r="G18" s="95" t="n">
        <f aca="false">G15+G17-G16</f>
        <v>138.773</v>
      </c>
      <c r="H18" s="95" t="n">
        <f aca="false">H15+H17-H16</f>
        <v>212.38175</v>
      </c>
      <c r="I18" s="95" t="n">
        <f aca="false">I15+I17-I16</f>
        <v>278.295125</v>
      </c>
    </row>
    <row r="19" customFormat="false" ht="15" hidden="false" customHeight="true" outlineLevel="0" collapsed="false">
      <c r="A19" s="96" t="s">
        <v>429</v>
      </c>
      <c r="B19" s="97" t="n">
        <v>0.53</v>
      </c>
      <c r="C19" s="97" t="n">
        <v>1.55</v>
      </c>
      <c r="D19" s="49" t="n">
        <f aca="false">D18*Assumptions!$E$28</f>
        <v>4.6332</v>
      </c>
      <c r="E19" s="49" t="n">
        <f aca="false">E18*Assumptions!$E$28</f>
        <v>6.59927312597252</v>
      </c>
      <c r="F19" s="49" t="n">
        <f aca="false">F18*Assumptions!$E$28</f>
        <v>13.2746328</v>
      </c>
      <c r="G19" s="49" t="n">
        <f aca="false">G18*Assumptions!$E$28</f>
        <v>23.8134468</v>
      </c>
      <c r="H19" s="49" t="n">
        <f aca="false">H18*Assumptions!$E$28</f>
        <v>36.4447083</v>
      </c>
      <c r="I19" s="49" t="n">
        <f aca="false">I18*Assumptions!$E$28</f>
        <v>47.75544345</v>
      </c>
    </row>
    <row r="20" customFormat="false" ht="15" hidden="false" customHeight="true" outlineLevel="0" collapsed="false">
      <c r="A20" s="78" t="s">
        <v>430</v>
      </c>
      <c r="B20" s="95" t="n">
        <v>2.61</v>
      </c>
      <c r="C20" s="95" t="n">
        <v>5.07</v>
      </c>
      <c r="D20" s="95" t="n">
        <f aca="false">D18-D19</f>
        <v>22.3668</v>
      </c>
      <c r="E20" s="95" t="n">
        <f aca="false">E18-E19</f>
        <v>31.8580294729349</v>
      </c>
      <c r="F20" s="95" t="n">
        <f aca="false">F18-F19</f>
        <v>64.0833672</v>
      </c>
      <c r="G20" s="95" t="n">
        <f aca="false">G18-G19</f>
        <v>114.9595532</v>
      </c>
      <c r="H20" s="95" t="n">
        <f aca="false">H18-H19</f>
        <v>175.9370417</v>
      </c>
      <c r="I20" s="95" t="n">
        <f aca="false">I18-I19</f>
        <v>230.53968155</v>
      </c>
    </row>
    <row r="21" customFormat="false" ht="15" hidden="false" customHeight="true" outlineLevel="0" collapsed="false">
      <c r="A21" s="31" t="s">
        <v>431</v>
      </c>
      <c r="B21" s="98" t="n">
        <f aca="false">B20/B6</f>
        <v>0.223842195540309</v>
      </c>
      <c r="C21" s="98" t="n">
        <f aca="false">C20/C6</f>
        <v>0.292387543252595</v>
      </c>
      <c r="D21" s="98" t="n">
        <f aca="false">D20/D6</f>
        <v>0.438478729660851</v>
      </c>
      <c r="E21" s="98" t="n">
        <f aca="false">E20/E6</f>
        <v>0.309301257018786</v>
      </c>
      <c r="F21" s="98" t="n">
        <f aca="false">F20/F6</f>
        <v>0.32365336969697</v>
      </c>
      <c r="G21" s="98" t="n">
        <f aca="false">G20/G6</f>
        <v>0.343162845373134</v>
      </c>
      <c r="H21" s="98" t="n">
        <f aca="false">H20/H6</f>
        <v>0.3518740834</v>
      </c>
      <c r="I21" s="98" t="n">
        <f aca="false">I20/I6</f>
        <v>0.354676433153846</v>
      </c>
    </row>
    <row r="22" customFormat="false" ht="15" hidden="false" customHeight="true" outlineLevel="0" collapsed="false">
      <c r="A22" s="99" t="s">
        <v>432</v>
      </c>
    </row>
    <row r="23" customFormat="false" ht="15" hidden="false" customHeight="true" outlineLevel="0" collapsed="false">
      <c r="A23" s="99" t="s">
        <v>433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2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44"/>
    <col collapsed="false" customWidth="true" hidden="false" outlineLevel="0" max="5" min="2" style="1" width="13"/>
    <col collapsed="false" customWidth="true" hidden="false" outlineLevel="0" max="6" min="6" style="1" width="30"/>
  </cols>
  <sheetData>
    <row r="1" customFormat="false" ht="15.75" hidden="false" customHeight="true" outlineLevel="0" collapsed="false">
      <c r="A1" s="17" t="s">
        <v>434</v>
      </c>
    </row>
    <row r="2" customFormat="false" ht="15" hidden="false" customHeight="true" outlineLevel="0" collapsed="false">
      <c r="A2" s="4" t="s">
        <v>435</v>
      </c>
    </row>
    <row r="4" customFormat="false" ht="15" hidden="false" customHeight="true" outlineLevel="0" collapsed="false">
      <c r="A4" s="19" t="s">
        <v>436</v>
      </c>
      <c r="B4" s="18" t="s">
        <v>437</v>
      </c>
      <c r="C4" s="18" t="s">
        <v>438</v>
      </c>
      <c r="D4" s="18" t="s">
        <v>439</v>
      </c>
      <c r="E4" s="18" t="s">
        <v>440</v>
      </c>
      <c r="F4" s="19" t="s">
        <v>441</v>
      </c>
    </row>
    <row r="5" customFormat="false" ht="15" hidden="false" customHeight="true" outlineLevel="0" collapsed="false">
      <c r="A5" s="26" t="s">
        <v>442</v>
      </c>
      <c r="B5" s="100"/>
      <c r="C5" s="101"/>
      <c r="D5" s="102"/>
      <c r="E5" s="103"/>
      <c r="F5" s="104"/>
    </row>
    <row r="6" customFormat="false" ht="15" hidden="false" customHeight="true" outlineLevel="0" collapsed="false">
      <c r="A6" s="28" t="s">
        <v>443</v>
      </c>
      <c r="B6" s="29" t="n">
        <v>23.96</v>
      </c>
      <c r="C6" s="32" t="n">
        <v>0.4</v>
      </c>
      <c r="D6" s="105" t="n">
        <f aca="false">1-C6</f>
        <v>0.6</v>
      </c>
      <c r="E6" s="41" t="n">
        <f aca="false">B6*D6</f>
        <v>14.376</v>
      </c>
      <c r="F6" s="31" t="s">
        <v>444</v>
      </c>
    </row>
    <row r="7" customFormat="false" ht="15" hidden="false" customHeight="true" outlineLevel="0" collapsed="false">
      <c r="A7" s="28" t="s">
        <v>445</v>
      </c>
      <c r="B7" s="29" t="n">
        <v>12.47</v>
      </c>
      <c r="C7" s="32" t="n">
        <v>0.34</v>
      </c>
      <c r="D7" s="105" t="n">
        <f aca="false">1-C7</f>
        <v>0.66</v>
      </c>
      <c r="E7" s="41" t="n">
        <f aca="false">B7*D7</f>
        <v>8.2302</v>
      </c>
      <c r="F7" s="31" t="s">
        <v>446</v>
      </c>
    </row>
    <row r="8" customFormat="false" ht="15" hidden="false" customHeight="true" outlineLevel="0" collapsed="false">
      <c r="A8" s="28" t="s">
        <v>447</v>
      </c>
      <c r="B8" s="29" t="n">
        <v>10.39</v>
      </c>
      <c r="C8" s="32" t="n">
        <v>0.25</v>
      </c>
      <c r="D8" s="105" t="n">
        <f aca="false">1-C8</f>
        <v>0.75</v>
      </c>
      <c r="E8" s="41" t="n">
        <f aca="false">B8*D8</f>
        <v>7.7925</v>
      </c>
      <c r="F8" s="31" t="s">
        <v>448</v>
      </c>
    </row>
    <row r="9" customFormat="false" ht="15" hidden="false" customHeight="true" outlineLevel="0" collapsed="false">
      <c r="A9" s="28" t="s">
        <v>449</v>
      </c>
      <c r="B9" s="39" t="n">
        <v>48</v>
      </c>
      <c r="C9" s="32" t="n">
        <v>0.5</v>
      </c>
      <c r="D9" s="105" t="n">
        <f aca="false">1-C9</f>
        <v>0.5</v>
      </c>
      <c r="E9" s="41" t="n">
        <f aca="false">B9*D9</f>
        <v>24</v>
      </c>
      <c r="F9" s="35" t="s">
        <v>450</v>
      </c>
    </row>
    <row r="10" customFormat="false" ht="15" hidden="false" customHeight="true" outlineLevel="0" collapsed="false">
      <c r="A10" s="44" t="s">
        <v>451</v>
      </c>
      <c r="B10" s="45" t="n">
        <f aca="false">SUM(B6:B9)</f>
        <v>94.82</v>
      </c>
      <c r="C10" s="106"/>
      <c r="D10" s="107" t="n">
        <f aca="false">E10/B10</f>
        <v>0.573704914574984</v>
      </c>
      <c r="E10" s="45" t="n">
        <f aca="false">SUM(E6:E9)</f>
        <v>54.3987</v>
      </c>
      <c r="F10" s="108"/>
    </row>
    <row r="11" customFormat="false" ht="15" hidden="false" customHeight="true" outlineLevel="0" collapsed="false">
      <c r="A11" s="26" t="s">
        <v>452</v>
      </c>
      <c r="B11" s="109"/>
      <c r="C11" s="110"/>
      <c r="D11" s="110"/>
      <c r="E11" s="109"/>
      <c r="F11" s="27"/>
    </row>
    <row r="12" customFormat="false" ht="15" hidden="false" customHeight="true" outlineLevel="0" collapsed="false">
      <c r="A12" s="28" t="s">
        <v>453</v>
      </c>
      <c r="B12" s="29" t="n">
        <v>22</v>
      </c>
      <c r="C12" s="32" t="n">
        <v>0.5</v>
      </c>
      <c r="D12" s="105" t="n">
        <f aca="false">1-C12</f>
        <v>0.5</v>
      </c>
      <c r="E12" s="41" t="n">
        <f aca="false">B12*D12</f>
        <v>11</v>
      </c>
      <c r="F12" s="31" t="s">
        <v>454</v>
      </c>
    </row>
    <row r="13" customFormat="false" ht="15" hidden="false" customHeight="true" outlineLevel="0" collapsed="false">
      <c r="A13" s="28" t="s">
        <v>455</v>
      </c>
      <c r="B13" s="29" t="n">
        <v>3</v>
      </c>
      <c r="C13" s="32" t="n">
        <v>0.65</v>
      </c>
      <c r="D13" s="105" t="n">
        <f aca="false">1-C13</f>
        <v>0.35</v>
      </c>
      <c r="E13" s="41" t="n">
        <f aca="false">B13*D13</f>
        <v>1.05</v>
      </c>
      <c r="F13" s="31" t="s">
        <v>456</v>
      </c>
    </row>
    <row r="14" customFormat="false" ht="15" hidden="false" customHeight="true" outlineLevel="0" collapsed="false">
      <c r="A14" s="28" t="s">
        <v>457</v>
      </c>
      <c r="B14" s="29" t="n">
        <v>1</v>
      </c>
      <c r="C14" s="32" t="n">
        <v>0.5</v>
      </c>
      <c r="D14" s="105" t="n">
        <f aca="false">1-C14</f>
        <v>0.5</v>
      </c>
      <c r="E14" s="41" t="n">
        <f aca="false">B14*D14</f>
        <v>0.5</v>
      </c>
      <c r="F14" s="31" t="s">
        <v>458</v>
      </c>
    </row>
    <row r="15" customFormat="false" ht="15" hidden="false" customHeight="true" outlineLevel="0" collapsed="false">
      <c r="A15" s="111" t="s">
        <v>459</v>
      </c>
      <c r="B15" s="29" t="n">
        <v>1.2</v>
      </c>
      <c r="E15" s="42" t="n">
        <v>1.2</v>
      </c>
      <c r="F15" s="112" t="s">
        <v>460</v>
      </c>
    </row>
    <row r="16" customFormat="false" ht="15" hidden="false" customHeight="true" outlineLevel="0" collapsed="false">
      <c r="A16" s="47" t="s">
        <v>461</v>
      </c>
      <c r="B16" s="48" t="n">
        <f aca="false">B10+SUM(B12:B14)</f>
        <v>120.82</v>
      </c>
      <c r="C16" s="52"/>
      <c r="D16" s="52"/>
      <c r="E16" s="48" t="n">
        <f aca="false">E10+SUM(E12:E14)+B15</f>
        <v>68.1487</v>
      </c>
      <c r="F16" s="113"/>
    </row>
    <row r="17" customFormat="false" ht="15" hidden="false" customHeight="true" outlineLevel="0" collapsed="false">
      <c r="A17" s="10" t="s">
        <v>462</v>
      </c>
      <c r="B17" s="33" t="n">
        <f aca="false">E16/B16</f>
        <v>0.564051481542791</v>
      </c>
    </row>
    <row r="18" customFormat="false" ht="15" hidden="false" customHeight="true" outlineLevel="0" collapsed="false">
      <c r="A18" s="10" t="s">
        <v>463</v>
      </c>
      <c r="B18" s="33" t="n">
        <f aca="false">1-B17</f>
        <v>0.435948518457209</v>
      </c>
    </row>
    <row r="19" customFormat="false" ht="15" hidden="false" customHeight="true" outlineLevel="0" collapsed="false">
      <c r="A19" s="28"/>
      <c r="B19" s="29"/>
      <c r="C19" s="32"/>
      <c r="D19" s="105"/>
      <c r="E19" s="41"/>
      <c r="F19" s="31"/>
    </row>
    <row r="20" customFormat="false" ht="15" hidden="false" customHeight="true" outlineLevel="0" collapsed="false">
      <c r="A20" s="22" t="s">
        <v>464</v>
      </c>
      <c r="B20" s="22"/>
      <c r="C20" s="22"/>
      <c r="D20" s="22"/>
      <c r="E20" s="22"/>
      <c r="F20" s="22"/>
    </row>
    <row r="21" customFormat="false" ht="15" hidden="false" customHeight="true" outlineLevel="0" collapsed="false">
      <c r="A21" s="53"/>
    </row>
    <row r="22" customFormat="false" ht="15" hidden="false" customHeight="true" outlineLevel="0" collapsed="false">
      <c r="A22" s="10"/>
      <c r="B22" s="30"/>
    </row>
    <row r="23" customFormat="false" ht="15" hidden="false" customHeight="true" outlineLevel="0" collapsed="false">
      <c r="A23" s="10"/>
      <c r="B23" s="30"/>
    </row>
    <row r="24" customFormat="false" ht="15" hidden="false" customHeight="true" outlineLevel="0" collapsed="false">
      <c r="A24" s="53"/>
      <c r="B24" s="114"/>
    </row>
    <row r="25" customFormat="false" ht="15" hidden="false" customHeight="true" outlineLevel="0" collapsed="false">
      <c r="A25" s="10"/>
      <c r="B25" s="33"/>
    </row>
    <row r="27" customFormat="false" ht="15" hidden="false" customHeight="true" outlineLevel="0" collapsed="false">
      <c r="A27" s="35"/>
    </row>
  </sheetData>
  <mergeCells count="1">
    <mergeCell ref="A20:F20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44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5" topLeftCell="B6" activePane="bottomRight" state="frozen"/>
      <selection pane="topLeft" activeCell="A1" activeCellId="0" sqref="A1"/>
      <selection pane="topRight" activeCell="B1" activeCellId="0" sqref="B1"/>
      <selection pane="bottomLeft" activeCell="A6" activeCellId="0" sqref="A6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4"/>
    <col collapsed="false" customWidth="true" hidden="false" outlineLevel="0" max="7" min="2" style="1" width="11"/>
  </cols>
  <sheetData>
    <row r="1" customFormat="false" ht="15.75" hidden="false" customHeight="true" outlineLevel="0" collapsed="false">
      <c r="A1" s="17" t="s">
        <v>465</v>
      </c>
    </row>
    <row r="2" customFormat="false" ht="15" hidden="false" customHeight="true" outlineLevel="0" collapsed="false">
      <c r="A2" s="87" t="str">
        <f aca="false">CONCATENATE("Scenario: ",Assumptions!B4)</f>
        <v>Scenario: BASE CASE — FY31 ₹650 Cr</v>
      </c>
    </row>
    <row r="3" customFormat="false" ht="15" hidden="false" customHeight="true" outlineLevel="0" collapsed="false">
      <c r="A3" s="5" t="s">
        <v>270</v>
      </c>
      <c r="B3" s="18" t="s">
        <v>412</v>
      </c>
      <c r="C3" s="18" t="s">
        <v>302</v>
      </c>
      <c r="D3" s="18" t="s">
        <v>303</v>
      </c>
      <c r="E3" s="18" t="s">
        <v>304</v>
      </c>
      <c r="F3" s="18" t="s">
        <v>305</v>
      </c>
      <c r="G3" s="18" t="s">
        <v>306</v>
      </c>
    </row>
    <row r="5" customFormat="false" ht="15" hidden="false" customHeight="true" outlineLevel="0" collapsed="false">
      <c r="A5" s="26" t="s">
        <v>466</v>
      </c>
      <c r="B5" s="27"/>
      <c r="C5" s="27"/>
      <c r="D5" s="27"/>
      <c r="E5" s="27"/>
      <c r="F5" s="27"/>
      <c r="G5" s="27"/>
    </row>
    <row r="6" customFormat="false" ht="15" hidden="false" customHeight="true" outlineLevel="0" collapsed="false">
      <c r="A6" s="28" t="s">
        <v>467</v>
      </c>
      <c r="B6" s="29" t="n">
        <v>0</v>
      </c>
      <c r="C6" s="42" t="n">
        <f aca="false">Assumptions!$E$37+Assumptions!$E$38+Assumptions!$E$39</f>
        <v>22.5</v>
      </c>
      <c r="D6" s="41" t="n">
        <f aca="false">D$15*Assumptions!$E$40</f>
        <v>2.97</v>
      </c>
      <c r="E6" s="41" t="n">
        <f aca="false">E$15*Assumptions!$E$40</f>
        <v>5.025</v>
      </c>
      <c r="F6" s="41" t="n">
        <f aca="false">F$15*Assumptions!$E$40</f>
        <v>7.5</v>
      </c>
      <c r="G6" s="41" t="n">
        <f aca="false">G$15*Assumptions!$E$40</f>
        <v>9.75</v>
      </c>
    </row>
    <row r="7" customFormat="false" ht="15" hidden="false" customHeight="true" outlineLevel="0" collapsed="false">
      <c r="A7" s="10" t="s">
        <v>468</v>
      </c>
      <c r="B7" s="30" t="n">
        <f aca="false">B6</f>
        <v>0</v>
      </c>
      <c r="C7" s="30" t="n">
        <f aca="false">C6</f>
        <v>22.5</v>
      </c>
      <c r="D7" s="30" t="n">
        <f aca="false">D6</f>
        <v>2.97</v>
      </c>
      <c r="E7" s="30" t="n">
        <f aca="false">E6</f>
        <v>5.025</v>
      </c>
      <c r="F7" s="30" t="n">
        <f aca="false">F6</f>
        <v>7.5</v>
      </c>
      <c r="G7" s="30" t="n">
        <f aca="false">G6</f>
        <v>9.75</v>
      </c>
    </row>
    <row r="8" customFormat="false" ht="15" hidden="false" customHeight="true" outlineLevel="0" collapsed="false">
      <c r="A8" s="4" t="s">
        <v>469</v>
      </c>
      <c r="B8" s="115" t="n">
        <f aca="false">B7</f>
        <v>0</v>
      </c>
      <c r="C8" s="115" t="n">
        <f aca="false">B8+C7</f>
        <v>22.5</v>
      </c>
      <c r="D8" s="115" t="n">
        <f aca="false">C8+D7</f>
        <v>25.47</v>
      </c>
      <c r="E8" s="115" t="n">
        <f aca="false">D8+E7</f>
        <v>30.495</v>
      </c>
      <c r="F8" s="115" t="n">
        <f aca="false">E8+F7</f>
        <v>37.995</v>
      </c>
      <c r="G8" s="115" t="n">
        <f aca="false">F8+G7</f>
        <v>47.745</v>
      </c>
    </row>
    <row r="10" customFormat="false" ht="15" hidden="false" customHeight="true" outlineLevel="0" collapsed="false">
      <c r="A10" s="26" t="s">
        <v>470</v>
      </c>
      <c r="B10" s="27"/>
      <c r="C10" s="27"/>
      <c r="D10" s="27"/>
      <c r="E10" s="27"/>
      <c r="F10" s="27"/>
      <c r="G10" s="27"/>
    </row>
    <row r="11" customFormat="false" ht="15" hidden="false" customHeight="true" outlineLevel="0" collapsed="false">
      <c r="A11" s="26" t="s">
        <v>471</v>
      </c>
      <c r="B11" s="27"/>
      <c r="C11" s="27"/>
      <c r="D11" s="27"/>
      <c r="E11" s="27"/>
      <c r="F11" s="27"/>
      <c r="G11" s="27"/>
    </row>
    <row r="12" customFormat="false" ht="15" hidden="false" customHeight="true" outlineLevel="0" collapsed="false">
      <c r="A12" s="28" t="s">
        <v>176</v>
      </c>
      <c r="B12" s="41" t="n">
        <f aca="false">Assumptions!$E$31/365*B15</f>
        <v>16.7704109589041</v>
      </c>
      <c r="C12" s="41" t="n">
        <f aca="false">Assumptions!$E$31/365*C15</f>
        <v>33.8630136986301</v>
      </c>
      <c r="D12" s="41" t="n">
        <f aca="false">Assumptions!$E$31/365*D15</f>
        <v>65.0958904109589</v>
      </c>
      <c r="E12" s="41" t="n">
        <f aca="false">Assumptions!$E$31/365*E15</f>
        <v>110.13698630137</v>
      </c>
      <c r="F12" s="41" t="n">
        <f aca="false">Assumptions!$E$31/365*F15</f>
        <v>164.383561643836</v>
      </c>
      <c r="G12" s="41" t="n">
        <f aca="false">Assumptions!$E$31/365*G15</f>
        <v>213.698630136986</v>
      </c>
    </row>
    <row r="13" customFormat="false" ht="15" hidden="false" customHeight="true" outlineLevel="0" collapsed="false">
      <c r="A13" s="28" t="s">
        <v>178</v>
      </c>
      <c r="B13" s="41" t="n">
        <f aca="false">Assumptions!$E$32/365*B16</f>
        <v>4.84245616438356</v>
      </c>
      <c r="C13" s="41" t="n">
        <f aca="false">Assumptions!$E$32/365*C16</f>
        <v>12.5957336057488</v>
      </c>
      <c r="D13" s="41" t="n">
        <f aca="false">Assumptions!$E$32/365*D16</f>
        <v>25.387397260274</v>
      </c>
      <c r="E13" s="41" t="n">
        <f aca="false">Assumptions!$E$32/365*E16</f>
        <v>42.9534246575342</v>
      </c>
      <c r="F13" s="41" t="n">
        <f aca="false">Assumptions!$E$32/365*F16</f>
        <v>64.1095890410959</v>
      </c>
      <c r="G13" s="41" t="n">
        <f aca="false">Assumptions!$E$32/365*G16</f>
        <v>83.3424657534247</v>
      </c>
    </row>
    <row r="14" customFormat="false" ht="15" hidden="false" customHeight="true" outlineLevel="0" collapsed="false">
      <c r="A14" s="28" t="s">
        <v>180</v>
      </c>
      <c r="B14" s="41" t="n">
        <f aca="false">Assumptions!$E$34*B17</f>
        <v>6.73332</v>
      </c>
      <c r="C14" s="41" t="n">
        <f aca="false">Assumptions!$E$34*C17</f>
        <v>17.961078960437</v>
      </c>
      <c r="D14" s="41" t="n">
        <f aca="false">Assumptions!$E$34*D17</f>
        <v>36.432</v>
      </c>
      <c r="E14" s="41" t="n">
        <f aca="false">Assumptions!$E$34*E17</f>
        <v>61.64</v>
      </c>
      <c r="F14" s="41" t="n">
        <f aca="false">Assumptions!$E$34*F17</f>
        <v>92</v>
      </c>
      <c r="G14" s="41" t="n">
        <f aca="false">Assumptions!$E$34*G17</f>
        <v>119.6</v>
      </c>
    </row>
    <row r="15" customFormat="false" ht="15" hidden="false" customHeight="true" outlineLevel="0" collapsed="false">
      <c r="A15" s="4" t="s">
        <v>472</v>
      </c>
      <c r="B15" s="116" t="n">
        <f aca="false">'P&amp;L'!D6</f>
        <v>51.01</v>
      </c>
      <c r="C15" s="116" t="n">
        <f aca="false">'P&amp;L'!E6</f>
        <v>103</v>
      </c>
      <c r="D15" s="116" t="n">
        <f aca="false">'P&amp;L'!F6</f>
        <v>198</v>
      </c>
      <c r="E15" s="116" t="n">
        <f aca="false">'P&amp;L'!G6</f>
        <v>335</v>
      </c>
      <c r="F15" s="116" t="n">
        <f aca="false">'P&amp;L'!H6</f>
        <v>500</v>
      </c>
      <c r="G15" s="116" t="n">
        <f aca="false">'P&amp;L'!I6</f>
        <v>650</v>
      </c>
    </row>
    <row r="16" customFormat="false" ht="15" hidden="false" customHeight="true" outlineLevel="0" collapsed="false">
      <c r="A16" s="4" t="s">
        <v>473</v>
      </c>
      <c r="B16" s="116" t="n">
        <f aca="false">'P&amp;L'!D7+'P&amp;L'!D8</f>
        <v>19.63885</v>
      </c>
      <c r="C16" s="116" t="n">
        <f aca="false">'P&amp;L'!E7+'P&amp;L'!E8</f>
        <v>51.0826974010925</v>
      </c>
      <c r="D16" s="116" t="n">
        <f aca="false">'P&amp;L'!F7+'P&amp;L'!F8</f>
        <v>102.96</v>
      </c>
      <c r="E16" s="116" t="n">
        <f aca="false">'P&amp;L'!G7+'P&amp;L'!G8</f>
        <v>174.2</v>
      </c>
      <c r="F16" s="116" t="n">
        <f aca="false">'P&amp;L'!H7+'P&amp;L'!H8</f>
        <v>260</v>
      </c>
      <c r="G16" s="116" t="n">
        <f aca="false">'P&amp;L'!I7+'P&amp;L'!I8</f>
        <v>338</v>
      </c>
    </row>
    <row r="17" customFormat="false" ht="15" hidden="false" customHeight="true" outlineLevel="0" collapsed="false">
      <c r="A17" s="4" t="s">
        <v>474</v>
      </c>
      <c r="B17" s="116" t="n">
        <f aca="false">'P&amp;L'!D7</f>
        <v>16.8333</v>
      </c>
      <c r="C17" s="116" t="n">
        <f aca="false">'P&amp;L'!E7</f>
        <v>44.9026974010925</v>
      </c>
      <c r="D17" s="116" t="n">
        <f aca="false">'P&amp;L'!F7</f>
        <v>91.08</v>
      </c>
      <c r="E17" s="116" t="n">
        <f aca="false">'P&amp;L'!G7</f>
        <v>154.1</v>
      </c>
      <c r="F17" s="116" t="n">
        <f aca="false">'P&amp;L'!H7</f>
        <v>230</v>
      </c>
      <c r="G17" s="116" t="n">
        <f aca="false">'P&amp;L'!I7</f>
        <v>299</v>
      </c>
    </row>
    <row r="18" customFormat="false" ht="15" hidden="false" customHeight="true" outlineLevel="0" collapsed="false">
      <c r="A18" s="28" t="s">
        <v>182</v>
      </c>
      <c r="B18" s="41" t="n">
        <f aca="false">Assumptions!$E$33/365*B17</f>
        <v>0.691779452054795</v>
      </c>
      <c r="C18" s="41" t="n">
        <f aca="false">Assumptions!$E$33/365*C17</f>
        <v>1.84531633155175</v>
      </c>
      <c r="D18" s="41" t="n">
        <f aca="false">Assumptions!$E$33/365*D17</f>
        <v>3.74301369863014</v>
      </c>
      <c r="E18" s="41" t="n">
        <f aca="false">Assumptions!$E$33/365*E17</f>
        <v>6.33287671232877</v>
      </c>
      <c r="F18" s="41" t="n">
        <f aca="false">Assumptions!$E$33/365*F17</f>
        <v>9.45205479452055</v>
      </c>
      <c r="G18" s="41" t="n">
        <f aca="false">Assumptions!$E$33/365*G17</f>
        <v>12.2876712328767</v>
      </c>
    </row>
    <row r="20" customFormat="false" ht="15" hidden="false" customHeight="true" outlineLevel="0" collapsed="false">
      <c r="A20" s="26" t="s">
        <v>475</v>
      </c>
      <c r="B20" s="27"/>
      <c r="C20" s="27"/>
      <c r="D20" s="27"/>
      <c r="E20" s="27"/>
      <c r="F20" s="27"/>
      <c r="G20" s="27"/>
    </row>
    <row r="21" customFormat="false" ht="15" hidden="false" customHeight="true" outlineLevel="0" collapsed="false">
      <c r="A21" s="28" t="s">
        <v>476</v>
      </c>
      <c r="B21" s="42" t="n">
        <f aca="false">'P&amp;L'!D20</f>
        <v>22.3668</v>
      </c>
      <c r="C21" s="42" t="n">
        <f aca="false">'P&amp;L'!E20</f>
        <v>31.8580294729349</v>
      </c>
      <c r="D21" s="42" t="n">
        <f aca="false">'P&amp;L'!F20</f>
        <v>64.0833672</v>
      </c>
      <c r="E21" s="42" t="n">
        <f aca="false">'P&amp;L'!G20</f>
        <v>114.9595532</v>
      </c>
      <c r="F21" s="42" t="n">
        <f aca="false">'P&amp;L'!H20</f>
        <v>175.9370417</v>
      </c>
      <c r="G21" s="42" t="n">
        <f aca="false">'P&amp;L'!I20</f>
        <v>230.53968155</v>
      </c>
    </row>
    <row r="22" customFormat="false" ht="15" hidden="false" customHeight="true" outlineLevel="0" collapsed="false">
      <c r="A22" s="28" t="s">
        <v>477</v>
      </c>
      <c r="B22" s="42" t="n">
        <f aca="false">'P&amp;L'!D14</f>
        <v>0.5</v>
      </c>
      <c r="C22" s="42" t="n">
        <f aca="false">'P&amp;L'!E14</f>
        <v>2.75</v>
      </c>
      <c r="D22" s="42" t="n">
        <f aca="false">'P&amp;L'!F14</f>
        <v>3.047</v>
      </c>
      <c r="E22" s="42" t="n">
        <f aca="false">'P&amp;L'!G14</f>
        <v>3.5495</v>
      </c>
      <c r="F22" s="42" t="n">
        <f aca="false">'P&amp;L'!H14</f>
        <v>4.2995</v>
      </c>
      <c r="G22" s="42" t="n">
        <f aca="false">'P&amp;L'!I14</f>
        <v>5.2745</v>
      </c>
    </row>
    <row r="23" customFormat="false" ht="15" hidden="false" customHeight="true" outlineLevel="0" collapsed="false">
      <c r="A23" s="28" t="s">
        <v>478</v>
      </c>
      <c r="B23" s="41" t="n">
        <f aca="false">-(B12-Assumptions!$B$52)</f>
        <v>-15.8104109589041</v>
      </c>
      <c r="C23" s="41" t="n">
        <f aca="false">-(C12-B12)</f>
        <v>-17.092602739726</v>
      </c>
      <c r="D23" s="41" t="n">
        <f aca="false">-(D12-C12)</f>
        <v>-31.2328767123288</v>
      </c>
      <c r="E23" s="41" t="n">
        <f aca="false">-(E12-D12)</f>
        <v>-45.041095890411</v>
      </c>
      <c r="F23" s="41" t="n">
        <f aca="false">-(F12-E12)</f>
        <v>-54.2465753424657</v>
      </c>
      <c r="G23" s="41" t="n">
        <f aca="false">-(G12-F12)</f>
        <v>-49.3150684931507</v>
      </c>
    </row>
    <row r="24" customFormat="false" ht="15" hidden="false" customHeight="true" outlineLevel="0" collapsed="false">
      <c r="A24" s="28" t="s">
        <v>479</v>
      </c>
      <c r="B24" s="41" t="n">
        <f aca="false">-(B13-Assumptions!$B$53)</f>
        <v>-0.642456164383561</v>
      </c>
      <c r="C24" s="41" t="n">
        <f aca="false">-(C13-B13)</f>
        <v>-7.75327744136528</v>
      </c>
      <c r="D24" s="41" t="n">
        <f aca="false">-(D13-C13)</f>
        <v>-12.7916636545251</v>
      </c>
      <c r="E24" s="41" t="n">
        <f aca="false">-(E13-D13)</f>
        <v>-17.5660273972603</v>
      </c>
      <c r="F24" s="41" t="n">
        <f aca="false">-(F13-E13)</f>
        <v>-21.1561643835616</v>
      </c>
      <c r="G24" s="41" t="n">
        <f aca="false">-(G13-F13)</f>
        <v>-19.2328767123288</v>
      </c>
    </row>
    <row r="25" customFormat="false" ht="15" hidden="false" customHeight="true" outlineLevel="0" collapsed="false">
      <c r="A25" s="28" t="s">
        <v>480</v>
      </c>
      <c r="B25" s="41" t="n">
        <f aca="false">-(B14-Assumptions!$B$54)</f>
        <v>-1.68332</v>
      </c>
      <c r="C25" s="41" t="n">
        <f aca="false">-(C14-B14)</f>
        <v>-11.227758960437</v>
      </c>
      <c r="D25" s="41" t="n">
        <f aca="false">-(D14-C14)</f>
        <v>-18.470921039563</v>
      </c>
      <c r="E25" s="41" t="n">
        <f aca="false">-(E14-D14)</f>
        <v>-25.208</v>
      </c>
      <c r="F25" s="41" t="n">
        <f aca="false">-(F14-E14)</f>
        <v>-30.36</v>
      </c>
      <c r="G25" s="41" t="n">
        <f aca="false">-(G14-F14)</f>
        <v>-27.6</v>
      </c>
    </row>
    <row r="26" customFormat="false" ht="15" hidden="false" customHeight="true" outlineLevel="0" collapsed="false">
      <c r="A26" s="28" t="s">
        <v>481</v>
      </c>
      <c r="B26" s="41" t="n">
        <f aca="false">(B18-Assumptions!$B$55)</f>
        <v>0.491779452054795</v>
      </c>
      <c r="C26" s="41" t="n">
        <f aca="false">(C18-B18)</f>
        <v>1.15353687949695</v>
      </c>
      <c r="D26" s="41" t="n">
        <f aca="false">(D18-C18)</f>
        <v>1.89769736707839</v>
      </c>
      <c r="E26" s="41" t="n">
        <f aca="false">(E18-D18)</f>
        <v>2.58986301369863</v>
      </c>
      <c r="F26" s="41" t="n">
        <f aca="false">(F18-E18)</f>
        <v>3.11917808219178</v>
      </c>
      <c r="G26" s="41" t="n">
        <f aca="false">(G18-F18)</f>
        <v>2.83561643835616</v>
      </c>
    </row>
    <row r="27" customFormat="false" ht="15" hidden="false" customHeight="true" outlineLevel="0" collapsed="false">
      <c r="A27" s="44" t="s">
        <v>482</v>
      </c>
      <c r="B27" s="45" t="n">
        <f aca="false">SUM(B21:B26)</f>
        <v>5.22239232876712</v>
      </c>
      <c r="C27" s="45" t="n">
        <f aca="false">SUM(C21:C26)</f>
        <v>-0.312072789096422</v>
      </c>
      <c r="D27" s="45" t="n">
        <f aca="false">SUM(D21:D26)</f>
        <v>6.53260316066152</v>
      </c>
      <c r="E27" s="45" t="n">
        <f aca="false">SUM(E21:E26)</f>
        <v>33.2837929260274</v>
      </c>
      <c r="F27" s="45" t="n">
        <f aca="false">SUM(F21:F26)</f>
        <v>77.5929800561644</v>
      </c>
      <c r="G27" s="45" t="n">
        <f aca="false">SUM(G21:G26)</f>
        <v>142.501852782877</v>
      </c>
    </row>
    <row r="28" customFormat="false" ht="15" hidden="false" customHeight="true" outlineLevel="0" collapsed="false">
      <c r="A28" s="28" t="s">
        <v>483</v>
      </c>
      <c r="B28" s="29" t="n">
        <v>0</v>
      </c>
      <c r="C28" s="29" t="n">
        <v>3.47</v>
      </c>
      <c r="D28" s="29" t="n">
        <v>0</v>
      </c>
      <c r="E28" s="29" t="n">
        <v>0</v>
      </c>
      <c r="F28" s="29" t="n">
        <v>0</v>
      </c>
      <c r="G28" s="29" t="n">
        <v>0</v>
      </c>
    </row>
    <row r="29" customFormat="false" ht="15" hidden="false" customHeight="true" outlineLevel="0" collapsed="false">
      <c r="A29" s="10" t="s">
        <v>484</v>
      </c>
      <c r="B29" s="30" t="n">
        <f aca="false">-B7</f>
        <v>-0</v>
      </c>
      <c r="C29" s="30" t="n">
        <f aca="false">-C7</f>
        <v>-22.5</v>
      </c>
      <c r="D29" s="30" t="n">
        <f aca="false">-D7</f>
        <v>-2.97</v>
      </c>
      <c r="E29" s="30" t="n">
        <f aca="false">-E7</f>
        <v>-5.025</v>
      </c>
      <c r="F29" s="30" t="n">
        <f aca="false">-F7</f>
        <v>-7.5</v>
      </c>
      <c r="G29" s="30" t="n">
        <f aca="false">-G7</f>
        <v>-9.75</v>
      </c>
    </row>
    <row r="31" customFormat="false" ht="15" hidden="false" customHeight="true" outlineLevel="0" collapsed="false">
      <c r="A31" s="26" t="s">
        <v>485</v>
      </c>
      <c r="B31" s="27"/>
      <c r="C31" s="27"/>
      <c r="D31" s="27"/>
      <c r="E31" s="27"/>
      <c r="F31" s="27"/>
      <c r="G31" s="27"/>
    </row>
    <row r="32" customFormat="false" ht="15" hidden="false" customHeight="true" outlineLevel="0" collapsed="false">
      <c r="A32" s="28" t="s">
        <v>486</v>
      </c>
      <c r="B32" s="29" t="n">
        <v>0</v>
      </c>
      <c r="C32" s="42" t="n">
        <f aca="false">Assumptions!$E$60</f>
        <v>39</v>
      </c>
      <c r="D32" s="29" t="n">
        <v>0</v>
      </c>
      <c r="E32" s="29" t="n">
        <v>0</v>
      </c>
      <c r="F32" s="29" t="n">
        <v>0</v>
      </c>
      <c r="G32" s="29" t="n">
        <v>0</v>
      </c>
    </row>
    <row r="33" customFormat="false" ht="15" hidden="false" customHeight="true" outlineLevel="0" collapsed="false">
      <c r="A33" s="28" t="s">
        <v>487</v>
      </c>
      <c r="B33" s="29" t="n">
        <v>0</v>
      </c>
      <c r="C33" s="42" t="n">
        <f aca="false">Debt!C3</f>
        <v>20</v>
      </c>
      <c r="D33" s="29" t="n">
        <v>0</v>
      </c>
      <c r="E33" s="29" t="n">
        <v>0</v>
      </c>
      <c r="F33" s="29" t="n">
        <v>0</v>
      </c>
      <c r="G33" s="29" t="n">
        <v>0</v>
      </c>
    </row>
    <row r="34" customFormat="false" ht="15" hidden="false" customHeight="true" outlineLevel="0" collapsed="false">
      <c r="A34" s="28" t="s">
        <v>488</v>
      </c>
      <c r="B34" s="42" t="n">
        <f aca="false">-Debt!B5</f>
        <v>-0</v>
      </c>
      <c r="C34" s="42" t="n">
        <f aca="false">-Debt!C5</f>
        <v>-0</v>
      </c>
      <c r="D34" s="42" t="n">
        <f aca="false">-Debt!D5</f>
        <v>-4</v>
      </c>
      <c r="E34" s="42" t="n">
        <f aca="false">-Debt!E5</f>
        <v>-4</v>
      </c>
      <c r="F34" s="42" t="n">
        <f aca="false">-Debt!F5</f>
        <v>-4</v>
      </c>
      <c r="G34" s="42" t="n">
        <f aca="false">-Debt!G5</f>
        <v>-4</v>
      </c>
    </row>
    <row r="35" customFormat="false" ht="15" hidden="false" customHeight="true" outlineLevel="0" collapsed="false">
      <c r="A35" s="28" t="s">
        <v>489</v>
      </c>
      <c r="B35" s="29" t="n">
        <v>-0.27</v>
      </c>
      <c r="C35" s="29" t="n">
        <v>0</v>
      </c>
      <c r="D35" s="29" t="n">
        <v>0</v>
      </c>
      <c r="E35" s="29" t="n">
        <v>0</v>
      </c>
      <c r="F35" s="29" t="n">
        <v>0</v>
      </c>
      <c r="G35" s="29" t="n">
        <v>0</v>
      </c>
    </row>
    <row r="36" customFormat="false" ht="15" hidden="false" customHeight="true" outlineLevel="0" collapsed="false">
      <c r="A36" s="44" t="s">
        <v>490</v>
      </c>
      <c r="B36" s="45" t="n">
        <f aca="false">SUM(B32:B35)</f>
        <v>-0.27</v>
      </c>
      <c r="C36" s="45" t="n">
        <f aca="false">SUM(C32:C35)</f>
        <v>59</v>
      </c>
      <c r="D36" s="45" t="n">
        <f aca="false">SUM(D32:D35)</f>
        <v>-4</v>
      </c>
      <c r="E36" s="45" t="n">
        <f aca="false">SUM(E32:E35)</f>
        <v>-4</v>
      </c>
      <c r="F36" s="45" t="n">
        <f aca="false">SUM(F32:F35)</f>
        <v>-4</v>
      </c>
      <c r="G36" s="45" t="n">
        <f aca="false">SUM(G32:G35)</f>
        <v>-4</v>
      </c>
    </row>
    <row r="38" customFormat="false" ht="15" hidden="false" customHeight="true" outlineLevel="0" collapsed="false">
      <c r="A38" s="10" t="s">
        <v>491</v>
      </c>
      <c r="B38" s="30" t="n">
        <f aca="false">B27+B28+B29+B36</f>
        <v>4.95239232876712</v>
      </c>
      <c r="C38" s="30" t="n">
        <f aca="false">C27+C28+C29+C36</f>
        <v>39.6579272109036</v>
      </c>
      <c r="D38" s="30" t="n">
        <f aca="false">D27+D28+D29+D36</f>
        <v>-0.437396839338483</v>
      </c>
      <c r="E38" s="30" t="n">
        <f aca="false">E27+E28+E29+E36</f>
        <v>24.2587929260274</v>
      </c>
      <c r="F38" s="30" t="n">
        <f aca="false">F27+F28+F29+F36</f>
        <v>66.0929800561644</v>
      </c>
      <c r="G38" s="30" t="n">
        <f aca="false">G27+G28+G29+G36</f>
        <v>128.751852782877</v>
      </c>
    </row>
    <row r="39" customFormat="false" ht="15" hidden="false" customHeight="true" outlineLevel="0" collapsed="false">
      <c r="A39" s="28" t="s">
        <v>492</v>
      </c>
      <c r="B39" s="42" t="n">
        <f aca="false">Assumptions!$B$56</f>
        <v>13.83</v>
      </c>
      <c r="C39" s="41" t="n">
        <f aca="false">B40</f>
        <v>18.7823923287671</v>
      </c>
      <c r="D39" s="41" t="n">
        <f aca="false">C40</f>
        <v>58.4403195396707</v>
      </c>
      <c r="E39" s="41" t="n">
        <f aca="false">D40</f>
        <v>58.0029227003322</v>
      </c>
      <c r="F39" s="41" t="n">
        <f aca="false">E40</f>
        <v>82.2617156263597</v>
      </c>
      <c r="G39" s="41" t="n">
        <f aca="false">F40</f>
        <v>148.354695682524</v>
      </c>
    </row>
    <row r="40" customFormat="false" ht="15" hidden="false" customHeight="true" outlineLevel="0" collapsed="false">
      <c r="A40" s="47" t="s">
        <v>493</v>
      </c>
      <c r="B40" s="48" t="n">
        <f aca="false">B38+B39</f>
        <v>18.7823923287671</v>
      </c>
      <c r="C40" s="48" t="n">
        <f aca="false">C38+C39</f>
        <v>58.4403195396707</v>
      </c>
      <c r="D40" s="48" t="n">
        <f aca="false">D38+D39</f>
        <v>58.0029227003322</v>
      </c>
      <c r="E40" s="48" t="n">
        <f aca="false">E38+E39</f>
        <v>82.2617156263597</v>
      </c>
      <c r="F40" s="48" t="n">
        <f aca="false">F38+F39</f>
        <v>148.354695682524</v>
      </c>
      <c r="G40" s="48" t="n">
        <f aca="false">G38+G39</f>
        <v>277.106548465401</v>
      </c>
    </row>
    <row r="41" customFormat="false" ht="15" hidden="false" customHeight="true" outlineLevel="0" collapsed="false">
      <c r="A41" s="28" t="s">
        <v>494</v>
      </c>
      <c r="B41" s="42" t="n">
        <f aca="false">Assumptions!$B$78</f>
        <v>9</v>
      </c>
      <c r="C41" s="42" t="n">
        <f aca="false">Assumptions!$B$78</f>
        <v>9</v>
      </c>
      <c r="D41" s="42" t="n">
        <f aca="false">Assumptions!$B$78</f>
        <v>9</v>
      </c>
      <c r="E41" s="42" t="n">
        <f aca="false">Assumptions!$B$78</f>
        <v>9</v>
      </c>
      <c r="F41" s="42" t="n">
        <f aca="false">Assumptions!$B$78</f>
        <v>9</v>
      </c>
      <c r="G41" s="42" t="n">
        <f aca="false">Assumptions!$B$78</f>
        <v>9</v>
      </c>
    </row>
    <row r="42" customFormat="false" ht="15" hidden="false" customHeight="true" outlineLevel="0" collapsed="false">
      <c r="A42" s="10" t="s">
        <v>495</v>
      </c>
      <c r="B42" s="30" t="n">
        <f aca="false">B40-B41</f>
        <v>9.78239232876712</v>
      </c>
      <c r="C42" s="30" t="n">
        <f aca="false">C40-C41</f>
        <v>49.4403195396707</v>
      </c>
      <c r="D42" s="30" t="n">
        <f aca="false">D40-D41</f>
        <v>49.0029227003322</v>
      </c>
      <c r="E42" s="30" t="n">
        <f aca="false">E40-E41</f>
        <v>73.2617156263597</v>
      </c>
      <c r="F42" s="30" t="n">
        <f aca="false">F40-F41</f>
        <v>139.354695682524</v>
      </c>
      <c r="G42" s="30" t="n">
        <f aca="false">G40-G41</f>
        <v>268.106548465401</v>
      </c>
    </row>
    <row r="43" customFormat="false" ht="15" hidden="false" customHeight="true" outlineLevel="0" collapsed="false">
      <c r="A43" s="35" t="s">
        <v>496</v>
      </c>
    </row>
    <row r="44" customFormat="false" ht="15" hidden="false" customHeight="true" outlineLevel="0" collapsed="false">
      <c r="A44" s="22" t="s">
        <v>497</v>
      </c>
      <c r="B44" s="22"/>
      <c r="C44" s="22"/>
      <c r="D44" s="22"/>
      <c r="E44" s="22"/>
      <c r="F44" s="22"/>
      <c r="G44" s="22"/>
    </row>
  </sheetData>
  <mergeCells count="1">
    <mergeCell ref="A44:G44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16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42"/>
    <col collapsed="false" customWidth="true" hidden="false" outlineLevel="0" max="4" min="2" style="1" width="14"/>
  </cols>
  <sheetData>
    <row r="1" customFormat="false" ht="15.75" hidden="false" customHeight="true" outlineLevel="0" collapsed="false">
      <c r="A1" s="17" t="s">
        <v>498</v>
      </c>
    </row>
    <row r="2" customFormat="false" ht="15" hidden="false" customHeight="true" outlineLevel="0" collapsed="false">
      <c r="A2" s="117" t="s">
        <v>499</v>
      </c>
      <c r="B2" s="117"/>
      <c r="C2" s="117"/>
      <c r="D2" s="117"/>
    </row>
    <row r="4" customFormat="false" ht="15" hidden="false" customHeight="true" outlineLevel="0" collapsed="false">
      <c r="A4" s="118" t="s">
        <v>500</v>
      </c>
      <c r="B4" s="57" t="s">
        <v>501</v>
      </c>
      <c r="C4" s="57" t="s">
        <v>502</v>
      </c>
      <c r="D4" s="118" t="s">
        <v>39</v>
      </c>
    </row>
    <row r="5" customFormat="false" ht="15" hidden="false" customHeight="true" outlineLevel="0" collapsed="false">
      <c r="A5" s="28" t="s">
        <v>503</v>
      </c>
      <c r="B5" s="29" t="n">
        <v>0.35</v>
      </c>
      <c r="C5" s="119" t="s">
        <v>504</v>
      </c>
      <c r="D5" s="8" t="s">
        <v>101</v>
      </c>
    </row>
    <row r="6" customFormat="false" ht="15" hidden="false" customHeight="true" outlineLevel="0" collapsed="false">
      <c r="A6" s="28" t="s">
        <v>505</v>
      </c>
      <c r="B6" s="29" t="n">
        <v>0.7</v>
      </c>
      <c r="C6" s="119" t="s">
        <v>506</v>
      </c>
      <c r="D6" s="8" t="s">
        <v>507</v>
      </c>
    </row>
    <row r="7" customFormat="false" ht="15" hidden="false" customHeight="true" outlineLevel="0" collapsed="false">
      <c r="A7" s="28" t="s">
        <v>508</v>
      </c>
      <c r="B7" s="29" t="n">
        <v>19.96</v>
      </c>
      <c r="C7" s="119" t="s">
        <v>509</v>
      </c>
      <c r="D7" s="8" t="s">
        <v>510</v>
      </c>
    </row>
    <row r="8" customFormat="false" ht="15" hidden="false" customHeight="true" outlineLevel="0" collapsed="false">
      <c r="A8" s="28" t="s">
        <v>511</v>
      </c>
      <c r="B8" s="29" t="n">
        <v>1.61</v>
      </c>
      <c r="C8" s="119" t="s">
        <v>512</v>
      </c>
      <c r="D8" s="8" t="s">
        <v>502</v>
      </c>
    </row>
    <row r="9" customFormat="false" ht="15" hidden="false" customHeight="true" outlineLevel="0" collapsed="false">
      <c r="A9" s="44" t="s">
        <v>513</v>
      </c>
      <c r="B9" s="45" t="n">
        <f aca="false">SUM(B5:B8)</f>
        <v>22.62</v>
      </c>
      <c r="C9" s="20"/>
      <c r="D9" s="8"/>
    </row>
    <row r="10" customFormat="false" ht="15" hidden="false" customHeight="true" outlineLevel="0" collapsed="false">
      <c r="A10" s="10"/>
      <c r="B10" s="30"/>
    </row>
    <row r="11" customFormat="false" ht="15" hidden="false" customHeight="true" outlineLevel="0" collapsed="false">
      <c r="A11" s="47" t="s">
        <v>514</v>
      </c>
      <c r="B11" s="52"/>
      <c r="C11" s="52"/>
      <c r="D11" s="52"/>
    </row>
    <row r="12" customFormat="false" ht="15" hidden="false" customHeight="true" outlineLevel="0" collapsed="false">
      <c r="A12" s="111" t="s">
        <v>515</v>
      </c>
      <c r="B12" s="42" t="n">
        <v>3.47</v>
      </c>
      <c r="C12" s="120" t="s">
        <v>516</v>
      </c>
      <c r="D12" s="121" t="s">
        <v>517</v>
      </c>
    </row>
    <row r="14" customFormat="false" ht="15" hidden="false" customHeight="true" outlineLevel="0" collapsed="false">
      <c r="A14" s="10" t="s">
        <v>518</v>
      </c>
      <c r="B14" s="30" t="n">
        <f aca="false">B9+B12</f>
        <v>26.09</v>
      </c>
      <c r="D14" s="31" t="s">
        <v>519</v>
      </c>
    </row>
    <row r="16" customFormat="false" ht="15" hidden="false" customHeight="true" outlineLevel="0" collapsed="false">
      <c r="A16" s="22" t="s">
        <v>520</v>
      </c>
      <c r="B16" s="22"/>
      <c r="C16" s="22"/>
      <c r="D16" s="22"/>
    </row>
  </sheetData>
  <mergeCells count="2">
    <mergeCell ref="A2:D2"/>
    <mergeCell ref="A16:D16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25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8"/>
    <col collapsed="false" customWidth="true" hidden="false" outlineLevel="0" max="5" min="2" style="1" width="14"/>
  </cols>
  <sheetData>
    <row r="1" customFormat="false" ht="15.75" hidden="false" customHeight="true" outlineLevel="0" collapsed="false">
      <c r="A1" s="17" t="s">
        <v>521</v>
      </c>
    </row>
    <row r="2" customFormat="false" ht="15" hidden="false" customHeight="true" outlineLevel="0" collapsed="false">
      <c r="A2" s="4" t="s">
        <v>522</v>
      </c>
    </row>
    <row r="4" customFormat="false" ht="15" hidden="false" customHeight="true" outlineLevel="0" collapsed="false">
      <c r="A4" s="47" t="s">
        <v>523</v>
      </c>
      <c r="B4" s="52"/>
      <c r="C4" s="52"/>
      <c r="D4" s="52"/>
    </row>
    <row r="5" customFormat="false" ht="15" hidden="false" customHeight="true" outlineLevel="0" collapsed="false">
      <c r="A5" s="28" t="s">
        <v>524</v>
      </c>
      <c r="B5" s="29" t="n">
        <v>27</v>
      </c>
    </row>
    <row r="6" customFormat="false" ht="15" hidden="false" customHeight="true" outlineLevel="0" collapsed="false">
      <c r="A6" s="28" t="s">
        <v>525</v>
      </c>
      <c r="B6" s="41" t="n">
        <f aca="false">B5*Assumptions!E28</f>
        <v>4.6332</v>
      </c>
    </row>
    <row r="7" customFormat="false" ht="15" hidden="false" customHeight="true" outlineLevel="0" collapsed="false">
      <c r="A7" s="28" t="s">
        <v>526</v>
      </c>
      <c r="B7" s="39" t="n">
        <v>0</v>
      </c>
    </row>
    <row r="8" customFormat="false" ht="15" hidden="false" customHeight="true" outlineLevel="0" collapsed="false">
      <c r="A8" s="10" t="s">
        <v>527</v>
      </c>
      <c r="B8" s="30" t="n">
        <f aca="false">B6-B7</f>
        <v>4.6332</v>
      </c>
    </row>
    <row r="9" customFormat="false" ht="15" hidden="false" customHeight="true" outlineLevel="0" collapsed="false">
      <c r="A9" s="28" t="s">
        <v>528</v>
      </c>
      <c r="B9" s="41" t="n">
        <f aca="false">B8*0.05</f>
        <v>0.23166</v>
      </c>
    </row>
    <row r="10" customFormat="false" ht="15" hidden="false" customHeight="true" outlineLevel="0" collapsed="false">
      <c r="A10" s="44" t="s">
        <v>529</v>
      </c>
      <c r="B10" s="45" t="n">
        <f aca="false">B8+B9</f>
        <v>4.86486</v>
      </c>
    </row>
    <row r="11" customFormat="false" ht="15" hidden="false" customHeight="true" outlineLevel="0" collapsed="false">
      <c r="A11" s="111" t="s">
        <v>530</v>
      </c>
      <c r="B11" s="42" t="n">
        <v>19.96</v>
      </c>
    </row>
    <row r="12" customFormat="false" ht="15" hidden="false" customHeight="true" outlineLevel="0" collapsed="false">
      <c r="A12" s="10" t="s">
        <v>531</v>
      </c>
      <c r="B12" s="30" t="n">
        <f aca="false">B11-B10</f>
        <v>15.09514</v>
      </c>
    </row>
    <row r="13" customFormat="false" ht="15" hidden="false" customHeight="true" outlineLevel="0" collapsed="false">
      <c r="A13" s="22" t="s">
        <v>532</v>
      </c>
      <c r="B13" s="22"/>
      <c r="C13" s="22"/>
      <c r="D13" s="22"/>
    </row>
    <row r="15" customFormat="false" ht="15" hidden="false" customHeight="true" outlineLevel="0" collapsed="false">
      <c r="A15" s="5" t="s">
        <v>533</v>
      </c>
      <c r="B15" s="6"/>
      <c r="C15" s="6"/>
      <c r="D15" s="6"/>
    </row>
    <row r="16" customFormat="false" ht="15" hidden="false" customHeight="true" outlineLevel="0" collapsed="false">
      <c r="A16" s="28" t="s">
        <v>534</v>
      </c>
      <c r="B16" s="42" t="n">
        <f aca="false">'P&amp;L'!E18</f>
        <v>38.4573025989075</v>
      </c>
    </row>
    <row r="17" customFormat="false" ht="15" hidden="false" customHeight="true" outlineLevel="0" collapsed="false">
      <c r="A17" s="28" t="s">
        <v>535</v>
      </c>
      <c r="B17" s="41" t="n">
        <f aca="false">B16*Assumptions!E28</f>
        <v>6.59927312597252</v>
      </c>
    </row>
    <row r="18" customFormat="false" ht="15" hidden="false" customHeight="true" outlineLevel="0" collapsed="false">
      <c r="A18" s="5" t="s">
        <v>536</v>
      </c>
      <c r="B18" s="18" t="s">
        <v>537</v>
      </c>
      <c r="C18" s="18" t="s">
        <v>538</v>
      </c>
      <c r="D18" s="18" t="s">
        <v>539</v>
      </c>
    </row>
    <row r="19" customFormat="false" ht="15" hidden="false" customHeight="true" outlineLevel="0" collapsed="false">
      <c r="A19" s="28" t="s">
        <v>540</v>
      </c>
      <c r="B19" s="122" t="n">
        <v>0.15</v>
      </c>
      <c r="C19" s="123" t="n">
        <f aca="false">B17*0.15-B17*0</f>
        <v>0.989890968895878</v>
      </c>
      <c r="D19" s="31" t="s">
        <v>541</v>
      </c>
    </row>
    <row r="20" customFormat="false" ht="15" hidden="false" customHeight="true" outlineLevel="0" collapsed="false">
      <c r="A20" s="28" t="s">
        <v>542</v>
      </c>
      <c r="B20" s="122" t="n">
        <v>0.45</v>
      </c>
      <c r="C20" s="123" t="n">
        <f aca="false">B17*0.45-B17*0.15</f>
        <v>1.97978193779176</v>
      </c>
      <c r="D20" s="31" t="s">
        <v>543</v>
      </c>
    </row>
    <row r="21" customFormat="false" ht="15" hidden="false" customHeight="true" outlineLevel="0" collapsed="false">
      <c r="A21" s="28" t="s">
        <v>544</v>
      </c>
      <c r="B21" s="122" t="n">
        <v>0.75</v>
      </c>
      <c r="C21" s="123" t="n">
        <f aca="false">B17*0.75-B17*0.45</f>
        <v>1.97978193779176</v>
      </c>
      <c r="D21" s="31" t="s">
        <v>545</v>
      </c>
    </row>
    <row r="22" customFormat="false" ht="15" hidden="false" customHeight="true" outlineLevel="0" collapsed="false">
      <c r="A22" s="28" t="s">
        <v>546</v>
      </c>
      <c r="B22" s="122" t="n">
        <v>1</v>
      </c>
      <c r="C22" s="123" t="n">
        <f aca="false">B17*1-B17*0.75</f>
        <v>1.64981828149313</v>
      </c>
      <c r="D22" s="31" t="s">
        <v>547</v>
      </c>
    </row>
    <row r="23" customFormat="false" ht="15" hidden="false" customHeight="true" outlineLevel="0" collapsed="false">
      <c r="A23" s="44" t="s">
        <v>548</v>
      </c>
      <c r="B23" s="45" t="n">
        <f aca="false">B17</f>
        <v>6.59927312597252</v>
      </c>
      <c r="C23" s="51"/>
      <c r="D23" s="51"/>
    </row>
    <row r="25" customFormat="false" ht="15" hidden="false" customHeight="true" outlineLevel="0" collapsed="false">
      <c r="A25" s="22" t="s">
        <v>549</v>
      </c>
      <c r="B25" s="22"/>
      <c r="C25" s="22"/>
      <c r="D25" s="22"/>
    </row>
  </sheetData>
  <mergeCells count="2">
    <mergeCell ref="A13:D13"/>
    <mergeCell ref="A25:D25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16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42"/>
    <col collapsed="false" customWidth="true" hidden="false" outlineLevel="0" max="4" min="2" style="1" width="14"/>
  </cols>
  <sheetData>
    <row r="1" customFormat="false" ht="15.75" hidden="false" customHeight="true" outlineLevel="0" collapsed="false">
      <c r="A1" s="17" t="s">
        <v>550</v>
      </c>
    </row>
    <row r="2" customFormat="false" ht="15" hidden="false" customHeight="true" outlineLevel="0" collapsed="false">
      <c r="A2" s="4" t="s">
        <v>551</v>
      </c>
    </row>
    <row r="4" customFormat="false" ht="15" hidden="false" customHeight="true" outlineLevel="0" collapsed="false">
      <c r="A4" s="5" t="s">
        <v>552</v>
      </c>
      <c r="B4" s="18" t="s">
        <v>501</v>
      </c>
      <c r="C4" s="18" t="s">
        <v>553</v>
      </c>
      <c r="D4" s="18" t="s">
        <v>554</v>
      </c>
    </row>
    <row r="5" customFormat="false" ht="15" hidden="false" customHeight="true" outlineLevel="0" collapsed="false">
      <c r="A5" s="28" t="s">
        <v>555</v>
      </c>
      <c r="B5" s="29" t="n">
        <v>19.96</v>
      </c>
      <c r="C5" s="8" t="s">
        <v>556</v>
      </c>
      <c r="D5" s="105" t="n">
        <f aca="false">B5/$B$9</f>
        <v>0.90975387420237</v>
      </c>
    </row>
    <row r="6" customFormat="false" ht="15" hidden="false" customHeight="true" outlineLevel="0" collapsed="false">
      <c r="A6" s="28" t="s">
        <v>557</v>
      </c>
      <c r="B6" s="29" t="n">
        <v>1.58</v>
      </c>
      <c r="C6" s="8" t="s">
        <v>558</v>
      </c>
      <c r="D6" s="105" t="n">
        <f aca="false">B6/$B$9</f>
        <v>0.0720145852324522</v>
      </c>
    </row>
    <row r="7" customFormat="false" ht="15" hidden="false" customHeight="true" outlineLevel="0" collapsed="false">
      <c r="A7" s="28" t="s">
        <v>559</v>
      </c>
      <c r="B7" s="29" t="n">
        <v>0.35</v>
      </c>
      <c r="C7" s="8" t="s">
        <v>560</v>
      </c>
      <c r="D7" s="105" t="n">
        <f aca="false">B7/$B$9</f>
        <v>0.0159525979945305</v>
      </c>
    </row>
    <row r="8" customFormat="false" ht="15" hidden="false" customHeight="true" outlineLevel="0" collapsed="false">
      <c r="A8" s="28" t="s">
        <v>561</v>
      </c>
      <c r="B8" s="29" t="n">
        <v>0.05</v>
      </c>
      <c r="C8" s="8" t="s">
        <v>562</v>
      </c>
      <c r="D8" s="105" t="n">
        <f aca="false">B8/$B$9</f>
        <v>0.00227894257064722</v>
      </c>
    </row>
    <row r="9" customFormat="false" ht="15" hidden="false" customHeight="true" outlineLevel="0" collapsed="false">
      <c r="A9" s="44" t="s">
        <v>563</v>
      </c>
      <c r="B9" s="45" t="n">
        <f aca="false">SUM(B5:B8)</f>
        <v>21.94</v>
      </c>
      <c r="C9" s="51"/>
      <c r="D9" s="107" t="n">
        <v>1</v>
      </c>
    </row>
    <row r="10" customFormat="false" ht="15" hidden="false" customHeight="true" outlineLevel="0" collapsed="false">
      <c r="A10" s="124" t="s">
        <v>564</v>
      </c>
      <c r="B10" s="42" t="n">
        <v>3.47</v>
      </c>
    </row>
    <row r="11" customFormat="false" ht="15" hidden="false" customHeight="true" outlineLevel="0" collapsed="false">
      <c r="A11" s="124" t="s">
        <v>565</v>
      </c>
      <c r="B11" s="42" t="n">
        <v>0.7</v>
      </c>
    </row>
    <row r="13" customFormat="false" ht="15" hidden="false" customHeight="true" outlineLevel="0" collapsed="false">
      <c r="A13" s="26" t="s">
        <v>566</v>
      </c>
      <c r="B13" s="27"/>
      <c r="C13" s="27"/>
      <c r="D13" s="27"/>
    </row>
    <row r="14" customFormat="false" ht="15" hidden="false" customHeight="true" outlineLevel="0" collapsed="false">
      <c r="A14" s="10" t="s">
        <v>567</v>
      </c>
      <c r="B14" s="125" t="n">
        <f aca="false">B5/B9</f>
        <v>0.90975387420237</v>
      </c>
    </row>
    <row r="16" customFormat="false" ht="15" hidden="false" customHeight="true" outlineLevel="0" collapsed="false">
      <c r="A16" s="22" t="s">
        <v>568</v>
      </c>
      <c r="B16" s="22"/>
      <c r="C16" s="22"/>
      <c r="D16" s="22"/>
    </row>
  </sheetData>
  <mergeCells count="1">
    <mergeCell ref="A16:D16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12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40"/>
    <col collapsed="false" customWidth="true" hidden="false" outlineLevel="0" max="7" min="2" style="1" width="11"/>
  </cols>
  <sheetData>
    <row r="1" customFormat="false" ht="15.75" hidden="false" customHeight="true" outlineLevel="0" collapsed="false">
      <c r="A1" s="17" t="s">
        <v>569</v>
      </c>
    </row>
    <row r="2" customFormat="false" ht="15" hidden="false" customHeight="true" outlineLevel="0" collapsed="false">
      <c r="A2" s="4" t="s">
        <v>570</v>
      </c>
    </row>
    <row r="4" customFormat="false" ht="15" hidden="false" customHeight="true" outlineLevel="0" collapsed="false">
      <c r="A4" s="5" t="s">
        <v>270</v>
      </c>
      <c r="B4" s="18" t="s">
        <v>412</v>
      </c>
      <c r="C4" s="18" t="s">
        <v>302</v>
      </c>
      <c r="D4" s="18" t="s">
        <v>303</v>
      </c>
      <c r="E4" s="18" t="s">
        <v>304</v>
      </c>
      <c r="F4" s="18" t="s">
        <v>305</v>
      </c>
      <c r="G4" s="18" t="s">
        <v>306</v>
      </c>
    </row>
    <row r="5" customFormat="false" ht="15" hidden="false" customHeight="true" outlineLevel="0" collapsed="false">
      <c r="A5" s="28" t="s">
        <v>472</v>
      </c>
      <c r="B5" s="42" t="n">
        <f aca="false">'P&amp;L'!D6</f>
        <v>51.01</v>
      </c>
      <c r="C5" s="42" t="n">
        <f aca="false">'P&amp;L'!E6</f>
        <v>103</v>
      </c>
      <c r="D5" s="42" t="n">
        <f aca="false">'P&amp;L'!F6</f>
        <v>198</v>
      </c>
      <c r="E5" s="42" t="n">
        <f aca="false">'P&amp;L'!G6</f>
        <v>335</v>
      </c>
      <c r="F5" s="42" t="n">
        <f aca="false">'P&amp;L'!H6</f>
        <v>500</v>
      </c>
      <c r="G5" s="42" t="n">
        <f aca="false">'P&amp;L'!I6</f>
        <v>650</v>
      </c>
    </row>
    <row r="6" customFormat="false" ht="15" hidden="false" customHeight="true" outlineLevel="0" collapsed="false">
      <c r="A6" s="28" t="s">
        <v>571</v>
      </c>
      <c r="B6" s="41" t="n">
        <f aca="false">B5*Assumptions!$E$62</f>
        <v>2.5505</v>
      </c>
      <c r="C6" s="41" t="n">
        <f aca="false">C5*Assumptions!$E$62</f>
        <v>5.15</v>
      </c>
      <c r="D6" s="41" t="n">
        <f aca="false">D5*Assumptions!$E$62</f>
        <v>9.9</v>
      </c>
      <c r="E6" s="41" t="n">
        <f aca="false">E5*Assumptions!$E$62</f>
        <v>16.75</v>
      </c>
      <c r="F6" s="41" t="n">
        <f aca="false">F5*Assumptions!$E$62</f>
        <v>25</v>
      </c>
      <c r="G6" s="41" t="n">
        <f aca="false">G5*Assumptions!$E$62</f>
        <v>32.5</v>
      </c>
    </row>
    <row r="7" customFormat="false" ht="15" hidden="false" customHeight="true" outlineLevel="0" collapsed="false">
      <c r="A7" s="28" t="s">
        <v>572</v>
      </c>
      <c r="B7" s="29" t="n">
        <v>9.12</v>
      </c>
      <c r="C7" s="41" t="n">
        <f aca="false">B6</f>
        <v>2.5505</v>
      </c>
      <c r="D7" s="41" t="n">
        <f aca="false">C6</f>
        <v>5.15</v>
      </c>
      <c r="E7" s="41" t="n">
        <f aca="false">D6</f>
        <v>9.9</v>
      </c>
      <c r="F7" s="41" t="n">
        <f aca="false">E6</f>
        <v>16.75</v>
      </c>
      <c r="G7" s="41" t="n">
        <f aca="false">F6</f>
        <v>25</v>
      </c>
    </row>
    <row r="8" customFormat="false" ht="15" hidden="false" customHeight="true" outlineLevel="0" collapsed="false">
      <c r="A8" s="44" t="s">
        <v>573</v>
      </c>
      <c r="B8" s="45" t="n">
        <f aca="false">MAX(0,B6-B7)</f>
        <v>0</v>
      </c>
      <c r="C8" s="45" t="n">
        <f aca="false">MAX(0,C6-C7)</f>
        <v>2.5995</v>
      </c>
      <c r="D8" s="45" t="n">
        <f aca="false">MAX(0,D6-D7)</f>
        <v>4.75</v>
      </c>
      <c r="E8" s="45" t="n">
        <f aca="false">MAX(0,E6-E7)</f>
        <v>6.85</v>
      </c>
      <c r="F8" s="45" t="n">
        <f aca="false">MAX(0,F6-F7)</f>
        <v>8.25</v>
      </c>
      <c r="G8" s="45" t="n">
        <f aca="false">MAX(0,G6-G7)</f>
        <v>7.5</v>
      </c>
    </row>
    <row r="10" customFormat="false" ht="15" hidden="false" customHeight="true" outlineLevel="0" collapsed="false">
      <c r="A10" s="124" t="s">
        <v>574</v>
      </c>
      <c r="B10" s="126" t="n">
        <f aca="false">B6</f>
        <v>2.5505</v>
      </c>
      <c r="C10" s="126" t="n">
        <f aca="false">C6</f>
        <v>5.15</v>
      </c>
      <c r="D10" s="126" t="n">
        <f aca="false">D6</f>
        <v>9.9</v>
      </c>
      <c r="E10" s="126" t="n">
        <f aca="false">E6</f>
        <v>16.75</v>
      </c>
      <c r="F10" s="126" t="n">
        <f aca="false">F6</f>
        <v>25</v>
      </c>
      <c r="G10" s="126" t="n">
        <f aca="false">G6</f>
        <v>32.5</v>
      </c>
    </row>
    <row r="12" customFormat="false" ht="15" hidden="false" customHeight="true" outlineLevel="0" collapsed="false">
      <c r="A12" s="22" t="s">
        <v>575</v>
      </c>
      <c r="B12" s="22"/>
      <c r="C12" s="22"/>
      <c r="D12" s="22"/>
      <c r="E12" s="22"/>
      <c r="F12" s="22"/>
      <c r="G12" s="22"/>
      <c r="H12" s="22"/>
      <c r="I12" s="22"/>
    </row>
  </sheetData>
  <mergeCells count="1">
    <mergeCell ref="A12:I1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22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5" topLeftCell="B6" activePane="bottomRight" state="frozen"/>
      <selection pane="topLeft" activeCell="A1" activeCellId="0" sqref="A1"/>
      <selection pane="topRight" activeCell="B1" activeCellId="0" sqref="B1"/>
      <selection pane="bottomLeft" activeCell="A6" activeCellId="0" sqref="A6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4"/>
    <col collapsed="false" customWidth="true" hidden="false" outlineLevel="0" max="7" min="2" style="1" width="11"/>
  </cols>
  <sheetData>
    <row r="1" customFormat="false" ht="15.75" hidden="false" customHeight="true" outlineLevel="0" collapsed="false">
      <c r="A1" s="17" t="s">
        <v>576</v>
      </c>
    </row>
    <row r="2" customFormat="false" ht="15" hidden="false" customHeight="true" outlineLevel="0" collapsed="false">
      <c r="A2" s="5" t="s">
        <v>270</v>
      </c>
      <c r="B2" s="18" t="s">
        <v>412</v>
      </c>
      <c r="C2" s="18" t="s">
        <v>302</v>
      </c>
      <c r="D2" s="18" t="s">
        <v>303</v>
      </c>
      <c r="E2" s="18" t="s">
        <v>304</v>
      </c>
      <c r="F2" s="18" t="s">
        <v>305</v>
      </c>
      <c r="G2" s="18" t="s">
        <v>306</v>
      </c>
    </row>
    <row r="3" customFormat="false" ht="15" hidden="false" customHeight="true" outlineLevel="0" collapsed="false">
      <c r="A3" s="28" t="s">
        <v>577</v>
      </c>
      <c r="B3" s="29" t="n">
        <v>0</v>
      </c>
      <c r="C3" s="42" t="n">
        <f aca="false">Assumptions!$E$61</f>
        <v>20</v>
      </c>
      <c r="D3" s="29" t="n">
        <v>0</v>
      </c>
      <c r="E3" s="29" t="n">
        <v>0</v>
      </c>
      <c r="F3" s="29" t="n">
        <v>0</v>
      </c>
      <c r="G3" s="29" t="n">
        <v>0</v>
      </c>
    </row>
    <row r="4" customFormat="false" ht="15" hidden="false" customHeight="true" outlineLevel="0" collapsed="false">
      <c r="A4" s="28" t="s">
        <v>578</v>
      </c>
      <c r="B4" s="41" t="n">
        <v>0</v>
      </c>
      <c r="C4" s="41" t="n">
        <f aca="false">B6</f>
        <v>0</v>
      </c>
      <c r="D4" s="41" t="n">
        <f aca="false">C6</f>
        <v>20</v>
      </c>
      <c r="E4" s="41" t="n">
        <f aca="false">D6</f>
        <v>16</v>
      </c>
      <c r="F4" s="41" t="n">
        <f aca="false">E6</f>
        <v>12</v>
      </c>
      <c r="G4" s="41" t="n">
        <f aca="false">F6</f>
        <v>8</v>
      </c>
    </row>
    <row r="5" customFormat="false" ht="15" hidden="false" customHeight="true" outlineLevel="0" collapsed="false">
      <c r="A5" s="28" t="s">
        <v>579</v>
      </c>
      <c r="B5" s="41" t="n">
        <v>0</v>
      </c>
      <c r="C5" s="41" t="n">
        <v>0</v>
      </c>
      <c r="D5" s="41" t="n">
        <f aca="false">MIN(D4,Assumptions!$E$44/Assumptions!$E$47)</f>
        <v>4</v>
      </c>
      <c r="E5" s="41" t="n">
        <f aca="false">MIN(E4,Assumptions!$E$44/Assumptions!$E$47)</f>
        <v>4</v>
      </c>
      <c r="F5" s="41" t="n">
        <f aca="false">MIN(F4,Assumptions!$E$44/Assumptions!$E$47)</f>
        <v>4</v>
      </c>
      <c r="G5" s="41" t="n">
        <f aca="false">MIN(G4,Assumptions!$E$44/Assumptions!$E$47)</f>
        <v>4</v>
      </c>
    </row>
    <row r="6" customFormat="false" ht="15" hidden="false" customHeight="true" outlineLevel="0" collapsed="false">
      <c r="A6" s="10" t="s">
        <v>580</v>
      </c>
      <c r="B6" s="30" t="n">
        <f aca="false">B4+B3-B5</f>
        <v>0</v>
      </c>
      <c r="C6" s="30" t="n">
        <f aca="false">C4+C3-C5</f>
        <v>20</v>
      </c>
      <c r="D6" s="30" t="n">
        <f aca="false">D4+D3-D5</f>
        <v>16</v>
      </c>
      <c r="E6" s="30" t="n">
        <f aca="false">E4+E3-E5</f>
        <v>12</v>
      </c>
      <c r="F6" s="30" t="n">
        <f aca="false">F4+F3-F5</f>
        <v>8</v>
      </c>
      <c r="G6" s="30" t="n">
        <f aca="false">G4+G3-G5</f>
        <v>4</v>
      </c>
    </row>
    <row r="8" customFormat="false" ht="15" hidden="false" customHeight="true" outlineLevel="0" collapsed="false">
      <c r="A8" s="28" t="s">
        <v>581</v>
      </c>
      <c r="B8" s="41" t="n">
        <v>0</v>
      </c>
      <c r="C8" s="41" t="n">
        <f aca="false">Assumptions!$E$44*Assumptions!$E$45*0.5</f>
        <v>0.9</v>
      </c>
      <c r="D8" s="41" t="n">
        <f aca="false">D4*Assumptions!$E$45</f>
        <v>1.8</v>
      </c>
      <c r="E8" s="41" t="n">
        <f aca="false">E4*Assumptions!$E$45</f>
        <v>1.44</v>
      </c>
      <c r="F8" s="41" t="n">
        <f aca="false">F4*Assumptions!$E$45</f>
        <v>1.08</v>
      </c>
      <c r="G8" s="41" t="n">
        <f aca="false">G4*Assumptions!$E$45</f>
        <v>0.72</v>
      </c>
    </row>
    <row r="9" customFormat="false" ht="15" hidden="false" customHeight="true" outlineLevel="0" collapsed="false">
      <c r="A9" s="28" t="s">
        <v>582</v>
      </c>
      <c r="B9" s="41" t="n">
        <f aca="false">0.27*0.108</f>
        <v>0.02916</v>
      </c>
      <c r="C9" s="41" t="n">
        <v>0</v>
      </c>
      <c r="D9" s="41" t="n">
        <v>0</v>
      </c>
      <c r="E9" s="41" t="n">
        <v>0</v>
      </c>
      <c r="F9" s="41" t="n">
        <v>0</v>
      </c>
      <c r="G9" s="41" t="n">
        <v>0</v>
      </c>
    </row>
    <row r="11" customFormat="false" ht="15" hidden="false" customHeight="true" outlineLevel="0" collapsed="false">
      <c r="A11" s="44" t="s">
        <v>583</v>
      </c>
      <c r="B11" s="45" t="n">
        <f aca="false">B8+B9</f>
        <v>0.02916</v>
      </c>
      <c r="C11" s="45" t="n">
        <f aca="false">C8+C9</f>
        <v>0.9</v>
      </c>
      <c r="D11" s="45" t="n">
        <f aca="false">D8+D9</f>
        <v>1.8</v>
      </c>
      <c r="E11" s="45" t="n">
        <f aca="false">E8+E9</f>
        <v>1.44</v>
      </c>
      <c r="F11" s="45" t="n">
        <f aca="false">F8+F9</f>
        <v>1.08</v>
      </c>
      <c r="G11" s="45" t="n">
        <f aca="false">G8+G9</f>
        <v>0.72</v>
      </c>
    </row>
    <row r="13" customFormat="false" ht="15" hidden="false" customHeight="true" outlineLevel="0" collapsed="false">
      <c r="A13" s="22" t="s">
        <v>584</v>
      </c>
      <c r="B13" s="22"/>
      <c r="C13" s="22"/>
      <c r="D13" s="22"/>
      <c r="E13" s="22"/>
      <c r="F13" s="22"/>
      <c r="G13" s="22"/>
    </row>
    <row r="15" customFormat="false" ht="15" hidden="false" customHeight="true" outlineLevel="0" collapsed="false">
      <c r="A15" s="26" t="s">
        <v>585</v>
      </c>
      <c r="B15" s="27"/>
      <c r="C15" s="27"/>
      <c r="D15" s="27"/>
      <c r="E15" s="27"/>
      <c r="F15" s="27"/>
      <c r="G15" s="27"/>
    </row>
    <row r="16" customFormat="false" ht="15" hidden="false" customHeight="true" outlineLevel="0" collapsed="false">
      <c r="A16" s="28" t="s">
        <v>586</v>
      </c>
      <c r="B16" s="42" t="n">
        <f aca="false">'P&amp;L'!D12</f>
        <v>27.72115</v>
      </c>
      <c r="C16" s="42" t="n">
        <f aca="false">'P&amp;L'!E12</f>
        <v>42.1073025989075</v>
      </c>
      <c r="D16" s="42" t="n">
        <f aca="false">'P&amp;L'!F12</f>
        <v>82.205</v>
      </c>
      <c r="E16" s="42" t="n">
        <f aca="false">'P&amp;L'!G12</f>
        <v>143.7625</v>
      </c>
      <c r="F16" s="42" t="n">
        <f aca="false">'P&amp;L'!H12</f>
        <v>217.76125</v>
      </c>
      <c r="G16" s="42" t="n">
        <f aca="false">'P&amp;L'!I12</f>
        <v>284.289625</v>
      </c>
    </row>
    <row r="17" customFormat="false" ht="15" hidden="false" customHeight="true" outlineLevel="0" collapsed="false">
      <c r="A17" s="28" t="s">
        <v>587</v>
      </c>
      <c r="B17" s="41" t="n">
        <f aca="false">B11+B5</f>
        <v>0.02916</v>
      </c>
      <c r="C17" s="41" t="n">
        <f aca="false">C11+C5</f>
        <v>0.9</v>
      </c>
      <c r="D17" s="41" t="n">
        <f aca="false">D11+D5</f>
        <v>5.8</v>
      </c>
      <c r="E17" s="41" t="n">
        <f aca="false">E11+E5</f>
        <v>5.44</v>
      </c>
      <c r="F17" s="41" t="n">
        <f aca="false">F11+F5</f>
        <v>5.08</v>
      </c>
      <c r="G17" s="41" t="n">
        <f aca="false">G11+G5</f>
        <v>4.72</v>
      </c>
    </row>
    <row r="18" customFormat="false" ht="15" hidden="false" customHeight="true" outlineLevel="0" collapsed="false">
      <c r="A18" s="10" t="s">
        <v>588</v>
      </c>
      <c r="B18" s="127" t="n">
        <f aca="false">IF(B17=0,"n/a",B16/B17)</f>
        <v>950.656721536351</v>
      </c>
      <c r="C18" s="127" t="n">
        <f aca="false">IF(C17=0,"n/a",C16/C17)</f>
        <v>46.7858917765639</v>
      </c>
      <c r="D18" s="127" t="n">
        <f aca="false">IF(D17=0,"n/a",D16/D17)</f>
        <v>14.173275862069</v>
      </c>
      <c r="E18" s="127" t="n">
        <f aca="false">IF(E17=0,"n/a",E16/E17)</f>
        <v>26.4269301470588</v>
      </c>
      <c r="F18" s="127" t="n">
        <f aca="false">IF(F17=0,"n/a",F16/F17)</f>
        <v>42.8663877952756</v>
      </c>
      <c r="G18" s="127" t="n">
        <f aca="false">IF(G17=0,"n/a",G16/G17)</f>
        <v>60.2308527542373</v>
      </c>
    </row>
    <row r="19" customFormat="false" ht="15" hidden="false" customHeight="true" outlineLevel="0" collapsed="false">
      <c r="A19" s="28" t="s">
        <v>589</v>
      </c>
      <c r="B19" s="128" t="n">
        <f aca="false">IF(B11=0,"n/a",B16/B11)</f>
        <v>950.656721536351</v>
      </c>
      <c r="C19" s="128" t="n">
        <f aca="false">IF(C11=0,"n/a",C16/C11)</f>
        <v>46.7858917765639</v>
      </c>
      <c r="D19" s="128" t="n">
        <f aca="false">IF(D11=0,"n/a",D16/D11)</f>
        <v>45.6694444444445</v>
      </c>
      <c r="E19" s="128" t="n">
        <f aca="false">IF(E11=0,"n/a",E16/E11)</f>
        <v>99.8350694444445</v>
      </c>
      <c r="F19" s="128" t="n">
        <f aca="false">IF(F11=0,"n/a",F16/F11)</f>
        <v>201.630787037037</v>
      </c>
      <c r="G19" s="128" t="n">
        <f aca="false">IF(G11=0,"n/a",G16/G11)</f>
        <v>394.846701388889</v>
      </c>
    </row>
    <row r="20" customFormat="false" ht="15" hidden="false" customHeight="true" outlineLevel="0" collapsed="false">
      <c r="A20" s="28" t="s">
        <v>590</v>
      </c>
      <c r="B20" s="128" t="n">
        <f aca="false">IF(B16=0,"n/a",B6/B16)</f>
        <v>0</v>
      </c>
      <c r="C20" s="128" t="n">
        <f aca="false">IF(C16=0,"n/a",C6/C16)</f>
        <v>0.474976993670426</v>
      </c>
      <c r="D20" s="128" t="n">
        <f aca="false">IF(D16=0,"n/a",D6/D16)</f>
        <v>0.194635362812481</v>
      </c>
      <c r="E20" s="128" t="n">
        <f aca="false">IF(E16=0,"n/a",E6/E16)</f>
        <v>0.0834710025215199</v>
      </c>
      <c r="F20" s="128" t="n">
        <f aca="false">IF(F16=0,"n/a",F6/F16)</f>
        <v>0.0367374819900235</v>
      </c>
      <c r="G20" s="128" t="n">
        <f aca="false">IF(G16=0,"n/a",G6/G16)</f>
        <v>0.0140701582057383</v>
      </c>
    </row>
    <row r="22" customFormat="false" ht="15" hidden="false" customHeight="true" outlineLevel="0" collapsed="false">
      <c r="A22" s="22" t="s">
        <v>591</v>
      </c>
      <c r="B22" s="22"/>
      <c r="C22" s="22"/>
      <c r="D22" s="22"/>
      <c r="E22" s="22"/>
      <c r="F22" s="22"/>
      <c r="G22" s="22"/>
    </row>
  </sheetData>
  <mergeCells count="2">
    <mergeCell ref="A13:G13"/>
    <mergeCell ref="A22:G2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40"/>
    <col collapsed="false" customWidth="true" hidden="false" outlineLevel="0" max="5" min="2" style="1" width="14"/>
  </cols>
  <sheetData>
    <row r="1" customFormat="false" ht="15.75" hidden="false" customHeight="true" outlineLevel="0" collapsed="false">
      <c r="A1" s="17" t="s">
        <v>592</v>
      </c>
    </row>
    <row r="2" customFormat="false" ht="15" hidden="false" customHeight="true" outlineLevel="0" collapsed="false">
      <c r="A2" s="4" t="s">
        <v>593</v>
      </c>
    </row>
    <row r="4" customFormat="false" ht="15" hidden="false" customHeight="true" outlineLevel="0" collapsed="false">
      <c r="A4" s="5"/>
      <c r="B4" s="18" t="s">
        <v>594</v>
      </c>
      <c r="C4" s="18" t="s">
        <v>595</v>
      </c>
      <c r="D4" s="18" t="s">
        <v>596</v>
      </c>
      <c r="E4" s="18" t="s">
        <v>597</v>
      </c>
    </row>
    <row r="5" customFormat="false" ht="15" hidden="false" customHeight="true" outlineLevel="0" collapsed="false">
      <c r="A5" s="10" t="s">
        <v>598</v>
      </c>
      <c r="B5" s="29" t="n">
        <v>500</v>
      </c>
      <c r="C5" s="29" t="n">
        <v>600</v>
      </c>
      <c r="D5" s="29" t="n">
        <v>700</v>
      </c>
      <c r="E5" s="42" t="n">
        <f aca="false">Assumptions!$E$64</f>
        <v>500</v>
      </c>
    </row>
    <row r="6" customFormat="false" ht="15" hidden="false" customHeight="true" outlineLevel="0" collapsed="false">
      <c r="A6" s="28" t="s">
        <v>599</v>
      </c>
      <c r="B6" s="42" t="n">
        <f aca="false">Assumptions!$E$60</f>
        <v>39</v>
      </c>
      <c r="C6" s="42" t="n">
        <f aca="false">Assumptions!$E$60</f>
        <v>39</v>
      </c>
      <c r="D6" s="42" t="n">
        <f aca="false">Assumptions!$E$60</f>
        <v>39</v>
      </c>
      <c r="E6" s="42" t="n">
        <f aca="false">Assumptions!$E$60</f>
        <v>39</v>
      </c>
    </row>
    <row r="7" customFormat="false" ht="15" hidden="false" customHeight="true" outlineLevel="0" collapsed="false">
      <c r="A7" s="28" t="s">
        <v>600</v>
      </c>
      <c r="B7" s="41" t="n">
        <f aca="false">B5+B6</f>
        <v>539</v>
      </c>
      <c r="C7" s="41" t="n">
        <f aca="false">C5+C6</f>
        <v>639</v>
      </c>
      <c r="D7" s="41" t="n">
        <f aca="false">D5+D6</f>
        <v>739</v>
      </c>
      <c r="E7" s="41" t="n">
        <f aca="false">E5+E6</f>
        <v>539</v>
      </c>
    </row>
    <row r="8" customFormat="false" ht="15" hidden="false" customHeight="true" outlineLevel="0" collapsed="false">
      <c r="A8" s="10" t="s">
        <v>601</v>
      </c>
      <c r="B8" s="33" t="n">
        <f aca="false">B6/B7</f>
        <v>0.0723562152133581</v>
      </c>
      <c r="C8" s="33" t="n">
        <f aca="false">C6/C7</f>
        <v>0.0610328638497653</v>
      </c>
      <c r="D8" s="33" t="n">
        <f aca="false">D6/D7</f>
        <v>0.0527740189445196</v>
      </c>
      <c r="E8" s="33" t="n">
        <f aca="false">E6/E7</f>
        <v>0.0723562152133581</v>
      </c>
    </row>
    <row r="10" customFormat="false" ht="15" hidden="false" customHeight="true" outlineLevel="0" collapsed="false">
      <c r="A10" s="28" t="s">
        <v>602</v>
      </c>
      <c r="B10" s="42" t="n">
        <f aca="false">'P&amp;L'!D20</f>
        <v>22.3668</v>
      </c>
      <c r="C10" s="42" t="n">
        <f aca="false">'P&amp;L'!D20</f>
        <v>22.3668</v>
      </c>
      <c r="D10" s="42" t="n">
        <f aca="false">'P&amp;L'!D20</f>
        <v>22.3668</v>
      </c>
      <c r="E10" s="42" t="n">
        <f aca="false">'P&amp;L'!D20</f>
        <v>22.3668</v>
      </c>
    </row>
    <row r="11" customFormat="false" ht="15" hidden="false" customHeight="true" outlineLevel="0" collapsed="false">
      <c r="A11" s="28" t="s">
        <v>603</v>
      </c>
      <c r="B11" s="128" t="n">
        <f aca="false">B5/B10</f>
        <v>22.3545612246723</v>
      </c>
      <c r="C11" s="128" t="n">
        <f aca="false">C5/C10</f>
        <v>26.8254734696067</v>
      </c>
      <c r="D11" s="128" t="n">
        <f aca="false">D5/D10</f>
        <v>31.2963857145412</v>
      </c>
      <c r="E11" s="128" t="n">
        <f aca="false">E5/E10</f>
        <v>22.3545612246723</v>
      </c>
    </row>
    <row r="12" customFormat="false" ht="15" hidden="false" customHeight="true" outlineLevel="0" collapsed="false">
      <c r="A12" s="28" t="s">
        <v>604</v>
      </c>
      <c r="B12" s="42" t="n">
        <f aca="false">'P&amp;L'!E20</f>
        <v>31.8580294729349</v>
      </c>
      <c r="C12" s="42" t="n">
        <f aca="false">'P&amp;L'!E20</f>
        <v>31.8580294729349</v>
      </c>
      <c r="D12" s="42" t="n">
        <f aca="false">'P&amp;L'!E20</f>
        <v>31.8580294729349</v>
      </c>
      <c r="E12" s="42" t="n">
        <f aca="false">'P&amp;L'!E20</f>
        <v>31.8580294729349</v>
      </c>
    </row>
    <row r="13" customFormat="false" ht="15" hidden="false" customHeight="true" outlineLevel="0" collapsed="false">
      <c r="A13" s="28" t="s">
        <v>605</v>
      </c>
      <c r="B13" s="128" t="n">
        <f aca="false">B5/B12</f>
        <v>15.6946304674863</v>
      </c>
      <c r="C13" s="128" t="n">
        <f aca="false">C5/C12</f>
        <v>18.8335565609835</v>
      </c>
      <c r="D13" s="128" t="n">
        <f aca="false">D5/D12</f>
        <v>21.9724826544808</v>
      </c>
      <c r="E13" s="128" t="n">
        <f aca="false">E5/E12</f>
        <v>15.6946304674863</v>
      </c>
    </row>
    <row r="15" customFormat="false" ht="15" hidden="false" customHeight="true" outlineLevel="0" collapsed="false">
      <c r="A15" s="124" t="s">
        <v>606</v>
      </c>
      <c r="B15" s="29" t="n">
        <v>360</v>
      </c>
      <c r="C15" s="129" t="n">
        <f aca="false">B15/'P&amp;L'!D20</f>
        <v>16.095284081764</v>
      </c>
      <c r="D15" s="31" t="s">
        <v>607</v>
      </c>
    </row>
    <row r="17" customFormat="false" ht="15" hidden="false" customHeight="true" outlineLevel="0" collapsed="false">
      <c r="A17" s="22" t="s">
        <v>608</v>
      </c>
      <c r="B17" s="22"/>
      <c r="C17" s="22"/>
      <c r="D17" s="22"/>
      <c r="E17" s="22"/>
    </row>
  </sheetData>
  <mergeCells count="1">
    <mergeCell ref="A17:E17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22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4"/>
    <col collapsed="false" customWidth="true" hidden="false" outlineLevel="0" max="3" min="2" style="1" width="42"/>
  </cols>
  <sheetData>
    <row r="1" customFormat="false" ht="17.25" hidden="false" customHeight="true" outlineLevel="0" collapsed="false">
      <c r="A1" s="55" t="s">
        <v>609</v>
      </c>
    </row>
    <row r="2" customFormat="false" ht="15" hidden="false" customHeight="true" outlineLevel="0" collapsed="false">
      <c r="A2" s="4" t="s">
        <v>610</v>
      </c>
    </row>
    <row r="3" customFormat="false" ht="15" hidden="false" customHeight="true" outlineLevel="0" collapsed="false">
      <c r="A3" s="56" t="s">
        <v>611</v>
      </c>
    </row>
    <row r="5" customFormat="false" ht="15" hidden="false" customHeight="true" outlineLevel="0" collapsed="false">
      <c r="A5" s="5" t="s">
        <v>612</v>
      </c>
      <c r="B5" s="5" t="s">
        <v>613</v>
      </c>
      <c r="C5" s="5" t="s">
        <v>614</v>
      </c>
    </row>
    <row r="6" customFormat="false" ht="42" hidden="false" customHeight="true" outlineLevel="0" collapsed="false">
      <c r="A6" s="10" t="s">
        <v>615</v>
      </c>
      <c r="B6" s="8" t="s">
        <v>616</v>
      </c>
      <c r="C6" s="121" t="s">
        <v>617</v>
      </c>
    </row>
    <row r="7" customFormat="false" ht="42" hidden="false" customHeight="true" outlineLevel="0" collapsed="false">
      <c r="A7" s="10" t="s">
        <v>618</v>
      </c>
      <c r="B7" s="8" t="s">
        <v>619</v>
      </c>
      <c r="C7" s="121" t="s">
        <v>620</v>
      </c>
    </row>
    <row r="8" customFormat="false" ht="42" hidden="false" customHeight="true" outlineLevel="0" collapsed="false">
      <c r="A8" s="10" t="s">
        <v>621</v>
      </c>
      <c r="B8" s="8" t="s">
        <v>622</v>
      </c>
      <c r="C8" s="121" t="s">
        <v>623</v>
      </c>
    </row>
    <row r="9" customFormat="false" ht="42" hidden="false" customHeight="true" outlineLevel="0" collapsed="false">
      <c r="A9" s="10" t="s">
        <v>624</v>
      </c>
      <c r="B9" s="8" t="s">
        <v>625</v>
      </c>
      <c r="C9" s="121" t="s">
        <v>626</v>
      </c>
    </row>
    <row r="10" customFormat="false" ht="42" hidden="false" customHeight="true" outlineLevel="0" collapsed="false">
      <c r="A10" s="10" t="s">
        <v>627</v>
      </c>
      <c r="B10" s="8" t="s">
        <v>628</v>
      </c>
      <c r="C10" s="121" t="s">
        <v>629</v>
      </c>
    </row>
    <row r="11" customFormat="false" ht="42" hidden="false" customHeight="true" outlineLevel="0" collapsed="false">
      <c r="A11" s="10" t="s">
        <v>630</v>
      </c>
      <c r="B11" s="8" t="s">
        <v>631</v>
      </c>
      <c r="C11" s="121" t="s">
        <v>632</v>
      </c>
    </row>
    <row r="12" customFormat="false" ht="42" hidden="false" customHeight="true" outlineLevel="0" collapsed="false">
      <c r="A12" s="10" t="s">
        <v>633</v>
      </c>
      <c r="B12" s="130" t="s">
        <v>634</v>
      </c>
      <c r="C12" s="131" t="s">
        <v>635</v>
      </c>
    </row>
    <row r="13" customFormat="false" ht="42" hidden="false" customHeight="true" outlineLevel="0" collapsed="false">
      <c r="A13" s="10" t="s">
        <v>636</v>
      </c>
      <c r="B13" s="8" t="s">
        <v>637</v>
      </c>
      <c r="C13" s="121" t="s">
        <v>638</v>
      </c>
    </row>
    <row r="14" customFormat="false" ht="42" hidden="false" customHeight="true" outlineLevel="0" collapsed="false">
      <c r="A14" s="10" t="s">
        <v>639</v>
      </c>
      <c r="B14" s="8" t="s">
        <v>640</v>
      </c>
      <c r="C14" s="121" t="s">
        <v>641</v>
      </c>
    </row>
    <row r="15" customFormat="false" ht="42" hidden="false" customHeight="true" outlineLevel="0" collapsed="false">
      <c r="A15" s="10" t="s">
        <v>642</v>
      </c>
      <c r="B15" s="8" t="s">
        <v>643</v>
      </c>
      <c r="C15" s="121" t="s">
        <v>644</v>
      </c>
    </row>
    <row r="16" customFormat="false" ht="42" hidden="false" customHeight="true" outlineLevel="0" collapsed="false">
      <c r="A16" s="10" t="s">
        <v>645</v>
      </c>
      <c r="B16" s="8" t="s">
        <v>646</v>
      </c>
      <c r="C16" s="121" t="s">
        <v>647</v>
      </c>
    </row>
    <row r="17" customFormat="false" ht="15" hidden="false" customHeight="true" outlineLevel="0" collapsed="false">
      <c r="A17" s="26" t="s">
        <v>648</v>
      </c>
      <c r="B17" s="27"/>
      <c r="C17" s="27"/>
    </row>
    <row r="18" customFormat="false" ht="51.75" hidden="false" customHeight="true" outlineLevel="0" collapsed="false">
      <c r="A18" s="7" t="s">
        <v>649</v>
      </c>
      <c r="B18" s="13" t="s">
        <v>650</v>
      </c>
      <c r="C18" s="13"/>
    </row>
    <row r="19" customFormat="false" ht="51.75" hidden="false" customHeight="true" outlineLevel="0" collapsed="false">
      <c r="A19" s="7" t="s">
        <v>651</v>
      </c>
      <c r="B19" s="13" t="s">
        <v>652</v>
      </c>
      <c r="C19" s="13"/>
    </row>
    <row r="20" customFormat="false" ht="51.75" hidden="false" customHeight="true" outlineLevel="0" collapsed="false">
      <c r="A20" s="7" t="s">
        <v>653</v>
      </c>
      <c r="B20" s="13" t="s">
        <v>654</v>
      </c>
      <c r="C20" s="13"/>
    </row>
    <row r="21" customFormat="false" ht="51.75" hidden="false" customHeight="true" outlineLevel="0" collapsed="false">
      <c r="A21" s="7" t="s">
        <v>655</v>
      </c>
      <c r="B21" s="13" t="s">
        <v>656</v>
      </c>
      <c r="C21" s="13"/>
    </row>
    <row r="22" customFormat="false" ht="15" hidden="false" customHeight="true" outlineLevel="0" collapsed="false">
      <c r="A22" s="22" t="s">
        <v>657</v>
      </c>
      <c r="B22" s="22"/>
      <c r="C22" s="22"/>
    </row>
  </sheetData>
  <mergeCells count="5">
    <mergeCell ref="B18:C18"/>
    <mergeCell ref="B19:C19"/>
    <mergeCell ref="B20:C20"/>
    <mergeCell ref="B21:C21"/>
    <mergeCell ref="A22:C2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26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2"/>
    <col collapsed="false" customWidth="true" hidden="false" outlineLevel="0" max="5" min="2" style="1" width="14"/>
    <col collapsed="false" customWidth="true" hidden="false" outlineLevel="0" max="6" min="6" style="1" width="30"/>
  </cols>
  <sheetData>
    <row r="1" customFormat="false" ht="15.75" hidden="false" customHeight="true" outlineLevel="0" collapsed="false">
      <c r="A1" s="17" t="s">
        <v>658</v>
      </c>
    </row>
    <row r="2" customFormat="false" ht="15" hidden="false" customHeight="true" outlineLevel="0" collapsed="false">
      <c r="A2" s="132" t="s">
        <v>659</v>
      </c>
      <c r="B2" s="132"/>
      <c r="C2" s="132"/>
      <c r="D2" s="132"/>
      <c r="E2" s="132"/>
      <c r="F2" s="132"/>
    </row>
    <row r="4" customFormat="false" ht="15" hidden="false" customHeight="true" outlineLevel="0" collapsed="false">
      <c r="A4" s="118" t="s">
        <v>660</v>
      </c>
      <c r="B4" s="57" t="s">
        <v>661</v>
      </c>
      <c r="C4" s="57" t="s">
        <v>662</v>
      </c>
      <c r="D4" s="57" t="s">
        <v>663</v>
      </c>
      <c r="E4" s="57" t="s">
        <v>379</v>
      </c>
    </row>
    <row r="5" customFormat="false" ht="15" hidden="false" customHeight="true" outlineLevel="0" collapsed="false">
      <c r="A5" s="10"/>
      <c r="B5" s="42"/>
      <c r="C5" s="42"/>
      <c r="D5" s="42"/>
    </row>
    <row r="6" customFormat="false" ht="15" hidden="false" customHeight="true" outlineLevel="0" collapsed="false">
      <c r="A6" s="28" t="s">
        <v>664</v>
      </c>
      <c r="B6" s="133" t="s">
        <v>665</v>
      </c>
      <c r="C6" s="134" t="s">
        <v>665</v>
      </c>
      <c r="D6" s="135" t="s">
        <v>665</v>
      </c>
      <c r="E6" s="31" t="s">
        <v>666</v>
      </c>
    </row>
    <row r="7" customFormat="false" ht="15" hidden="false" customHeight="true" outlineLevel="0" collapsed="false">
      <c r="A7" s="28" t="s">
        <v>667</v>
      </c>
      <c r="B7" s="133" t="s">
        <v>668</v>
      </c>
      <c r="C7" s="134" t="s">
        <v>668</v>
      </c>
      <c r="D7" s="135" t="s">
        <v>668</v>
      </c>
      <c r="E7" s="31" t="s">
        <v>669</v>
      </c>
    </row>
    <row r="8" customFormat="false" ht="15" hidden="false" customHeight="true" outlineLevel="0" collapsed="false">
      <c r="A8" s="28" t="s">
        <v>670</v>
      </c>
      <c r="B8" s="133" t="s">
        <v>671</v>
      </c>
      <c r="C8" s="134" t="s">
        <v>672</v>
      </c>
      <c r="D8" s="135" t="s">
        <v>673</v>
      </c>
      <c r="E8" s="31" t="s">
        <v>674</v>
      </c>
    </row>
    <row r="9" customFormat="false" ht="15" hidden="false" customHeight="true" outlineLevel="0" collapsed="false">
      <c r="A9" s="28" t="s">
        <v>675</v>
      </c>
      <c r="B9" s="133" t="s">
        <v>676</v>
      </c>
      <c r="C9" s="134" t="s">
        <v>676</v>
      </c>
      <c r="D9" s="135" t="s">
        <v>676</v>
      </c>
      <c r="E9" s="31"/>
    </row>
    <row r="11" customFormat="false" ht="15" hidden="false" customHeight="true" outlineLevel="0" collapsed="false">
      <c r="A11" s="28" t="s">
        <v>670</v>
      </c>
      <c r="B11" s="136" t="s">
        <v>673</v>
      </c>
      <c r="C11" s="137" t="s">
        <v>673</v>
      </c>
      <c r="D11" s="138" t="s">
        <v>673</v>
      </c>
      <c r="E11" s="31" t="s">
        <v>677</v>
      </c>
    </row>
    <row r="12" customFormat="false" ht="15" hidden="false" customHeight="true" outlineLevel="0" collapsed="false">
      <c r="A12" s="28" t="s">
        <v>678</v>
      </c>
      <c r="B12" s="133" t="s">
        <v>679</v>
      </c>
      <c r="C12" s="134" t="s">
        <v>679</v>
      </c>
      <c r="D12" s="135" t="s">
        <v>679</v>
      </c>
      <c r="E12" s="31"/>
    </row>
    <row r="13" customFormat="false" ht="15" hidden="false" customHeight="true" outlineLevel="0" collapsed="false">
      <c r="A13" s="28" t="s">
        <v>680</v>
      </c>
      <c r="B13" s="133" t="s">
        <v>681</v>
      </c>
      <c r="C13" s="134" t="s">
        <v>682</v>
      </c>
      <c r="D13" s="135" t="s">
        <v>683</v>
      </c>
      <c r="E13" s="31" t="s">
        <v>684</v>
      </c>
    </row>
    <row r="14" customFormat="false" ht="15" hidden="false" customHeight="true" outlineLevel="0" collapsed="false">
      <c r="A14" s="28" t="s">
        <v>685</v>
      </c>
      <c r="B14" s="139" t="s">
        <v>686</v>
      </c>
      <c r="C14" s="140" t="s">
        <v>687</v>
      </c>
      <c r="D14" s="141" t="s">
        <v>688</v>
      </c>
      <c r="E14" s="31"/>
    </row>
    <row r="15" customFormat="false" ht="15" hidden="false" customHeight="true" outlineLevel="0" collapsed="false">
      <c r="A15" s="28" t="s">
        <v>689</v>
      </c>
      <c r="B15" s="139" t="s">
        <v>690</v>
      </c>
      <c r="C15" s="140" t="s">
        <v>691</v>
      </c>
      <c r="D15" s="141" t="s">
        <v>692</v>
      </c>
      <c r="E15" s="31"/>
    </row>
    <row r="16" customFormat="false" ht="15" hidden="false" customHeight="true" outlineLevel="0" collapsed="false">
      <c r="A16" s="28" t="s">
        <v>693</v>
      </c>
      <c r="B16" s="139" t="s">
        <v>694</v>
      </c>
      <c r="C16" s="140" t="s">
        <v>695</v>
      </c>
      <c r="D16" s="141" t="s">
        <v>696</v>
      </c>
      <c r="E16" s="31" t="s">
        <v>697</v>
      </c>
    </row>
    <row r="17" customFormat="false" ht="15" hidden="false" customHeight="true" outlineLevel="0" collapsed="false">
      <c r="A17" s="28" t="s">
        <v>698</v>
      </c>
      <c r="B17" s="139" t="s">
        <v>699</v>
      </c>
      <c r="C17" s="140" t="s">
        <v>700</v>
      </c>
      <c r="D17" s="141" t="s">
        <v>701</v>
      </c>
      <c r="E17" s="31" t="s">
        <v>702</v>
      </c>
    </row>
    <row r="19" customFormat="false" ht="15" hidden="false" customHeight="true" outlineLevel="0" collapsed="false">
      <c r="A19" s="28" t="s">
        <v>703</v>
      </c>
      <c r="B19" s="139" t="s">
        <v>704</v>
      </c>
      <c r="C19" s="140" t="s">
        <v>704</v>
      </c>
      <c r="D19" s="141" t="s">
        <v>704</v>
      </c>
      <c r="E19" s="31" t="s">
        <v>705</v>
      </c>
    </row>
    <row r="20" customFormat="false" ht="15" hidden="false" customHeight="true" outlineLevel="0" collapsed="false">
      <c r="A20" s="28" t="s">
        <v>706</v>
      </c>
      <c r="B20" s="139" t="s">
        <v>707</v>
      </c>
      <c r="C20" s="140" t="s">
        <v>707</v>
      </c>
      <c r="D20" s="141" t="s">
        <v>707</v>
      </c>
      <c r="E20" s="31" t="s">
        <v>708</v>
      </c>
    </row>
    <row r="21" customFormat="false" ht="15" hidden="false" customHeight="true" outlineLevel="0" collapsed="false">
      <c r="A21" s="28" t="s">
        <v>709</v>
      </c>
      <c r="B21" s="139" t="s">
        <v>710</v>
      </c>
      <c r="C21" s="140" t="s">
        <v>711</v>
      </c>
      <c r="D21" s="141" t="s">
        <v>712</v>
      </c>
      <c r="E21" s="31" t="s">
        <v>713</v>
      </c>
    </row>
    <row r="23" customFormat="false" ht="15" hidden="false" customHeight="true" outlineLevel="0" collapsed="false">
      <c r="A23" s="78" t="s">
        <v>714</v>
      </c>
    </row>
    <row r="24" customFormat="false" ht="15" hidden="false" customHeight="true" outlineLevel="0" collapsed="false">
      <c r="A24" s="142" t="s">
        <v>715</v>
      </c>
      <c r="B24" s="142"/>
      <c r="C24" s="142"/>
      <c r="D24" s="142"/>
      <c r="E24" s="142"/>
    </row>
    <row r="25" customFormat="false" ht="15" hidden="false" customHeight="true" outlineLevel="0" collapsed="false">
      <c r="A25" s="142" t="s">
        <v>716</v>
      </c>
      <c r="B25" s="142"/>
      <c r="C25" s="142"/>
      <c r="D25" s="142"/>
      <c r="E25" s="142"/>
    </row>
    <row r="26" customFormat="false" ht="15" hidden="false" customHeight="true" outlineLevel="0" collapsed="false">
      <c r="A26" s="142" t="s">
        <v>717</v>
      </c>
      <c r="B26" s="142"/>
      <c r="C26" s="142"/>
      <c r="D26" s="142"/>
      <c r="E26" s="142"/>
    </row>
  </sheetData>
  <mergeCells count="4">
    <mergeCell ref="A2:F2"/>
    <mergeCell ref="A24:E24"/>
    <mergeCell ref="A25:E25"/>
    <mergeCell ref="A26:E26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1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0"/>
    <col collapsed="false" customWidth="true" hidden="false" outlineLevel="0" max="7" min="2" style="1" width="8"/>
    <col collapsed="false" customWidth="true" hidden="false" outlineLevel="0" max="8" min="8" style="1" width="11"/>
    <col collapsed="false" customWidth="true" hidden="false" outlineLevel="0" max="9" min="9" style="1" width="40"/>
  </cols>
  <sheetData>
    <row r="1" customFormat="false" ht="15.75" hidden="false" customHeight="true" outlineLevel="0" collapsed="false">
      <c r="A1" s="17" t="s">
        <v>718</v>
      </c>
    </row>
    <row r="2" customFormat="false" ht="15" hidden="false" customHeight="true" outlineLevel="0" collapsed="false">
      <c r="A2" s="4" t="s">
        <v>719</v>
      </c>
    </row>
    <row r="4" customFormat="false" ht="15" hidden="false" customHeight="true" outlineLevel="0" collapsed="false">
      <c r="A4" s="5" t="s">
        <v>720</v>
      </c>
      <c r="B4" s="18" t="s">
        <v>412</v>
      </c>
      <c r="C4" s="18" t="s">
        <v>302</v>
      </c>
      <c r="D4" s="18" t="s">
        <v>303</v>
      </c>
      <c r="E4" s="18" t="s">
        <v>304</v>
      </c>
      <c r="F4" s="18" t="s">
        <v>305</v>
      </c>
      <c r="G4" s="18" t="s">
        <v>306</v>
      </c>
      <c r="H4" s="18" t="s">
        <v>721</v>
      </c>
      <c r="I4" s="5" t="s">
        <v>722</v>
      </c>
    </row>
    <row r="5" customFormat="false" ht="15" hidden="false" customHeight="true" outlineLevel="0" collapsed="false">
      <c r="A5" s="28" t="s">
        <v>723</v>
      </c>
      <c r="B5" s="60" t="n">
        <v>51</v>
      </c>
      <c r="C5" s="60" t="n">
        <v>108</v>
      </c>
      <c r="D5" s="60" t="n">
        <v>170</v>
      </c>
      <c r="E5" s="60" t="n">
        <v>260</v>
      </c>
      <c r="F5" s="60" t="n">
        <v>350</v>
      </c>
      <c r="G5" s="60" t="n">
        <v>450</v>
      </c>
      <c r="H5" s="143" t="s">
        <v>724</v>
      </c>
      <c r="I5" s="144" t="s">
        <v>725</v>
      </c>
    </row>
    <row r="6" customFormat="false" ht="15" hidden="false" customHeight="true" outlineLevel="0" collapsed="false">
      <c r="A6" s="28" t="s">
        <v>726</v>
      </c>
      <c r="B6" s="60" t="n">
        <v>0</v>
      </c>
      <c r="C6" s="60" t="n">
        <v>2</v>
      </c>
      <c r="D6" s="60" t="n">
        <v>20</v>
      </c>
      <c r="E6" s="60" t="n">
        <v>55</v>
      </c>
      <c r="F6" s="60" t="n">
        <v>90</v>
      </c>
      <c r="G6" s="60" t="n">
        <v>120</v>
      </c>
      <c r="H6" s="145" t="s">
        <v>727</v>
      </c>
      <c r="I6" s="144" t="s">
        <v>728</v>
      </c>
    </row>
    <row r="7" customFormat="false" ht="15" hidden="false" customHeight="true" outlineLevel="0" collapsed="false">
      <c r="A7" s="28" t="s">
        <v>729</v>
      </c>
      <c r="B7" s="60" t="n">
        <v>0</v>
      </c>
      <c r="C7" s="60" t="n">
        <v>3</v>
      </c>
      <c r="D7" s="60" t="n">
        <v>18</v>
      </c>
      <c r="E7" s="60" t="n">
        <v>40</v>
      </c>
      <c r="F7" s="60" t="n">
        <v>70</v>
      </c>
      <c r="G7" s="60" t="n">
        <v>90</v>
      </c>
      <c r="H7" s="145" t="s">
        <v>727</v>
      </c>
      <c r="I7" s="144" t="s">
        <v>730</v>
      </c>
    </row>
    <row r="8" customFormat="false" ht="15" hidden="false" customHeight="true" outlineLevel="0" collapsed="false">
      <c r="A8" s="28" t="s">
        <v>731</v>
      </c>
      <c r="B8" s="60" t="n">
        <v>0</v>
      </c>
      <c r="C8" s="60" t="n">
        <v>0</v>
      </c>
      <c r="D8" s="60" t="n">
        <v>10</v>
      </c>
      <c r="E8" s="60" t="n">
        <v>40</v>
      </c>
      <c r="F8" s="60" t="n">
        <v>80</v>
      </c>
      <c r="G8" s="60" t="n">
        <v>80</v>
      </c>
      <c r="H8" s="146" t="s">
        <v>732</v>
      </c>
      <c r="I8" s="144" t="s">
        <v>733</v>
      </c>
    </row>
    <row r="9" customFormat="false" ht="15" hidden="false" customHeight="true" outlineLevel="0" collapsed="false">
      <c r="A9" s="28" t="s">
        <v>734</v>
      </c>
      <c r="B9" s="60" t="n">
        <v>0</v>
      </c>
      <c r="C9" s="60" t="n">
        <v>4</v>
      </c>
      <c r="D9" s="60" t="n">
        <v>15</v>
      </c>
      <c r="E9" s="60" t="n">
        <v>35</v>
      </c>
      <c r="F9" s="60" t="n">
        <v>55</v>
      </c>
      <c r="G9" s="60" t="n">
        <v>40</v>
      </c>
      <c r="H9" s="145" t="s">
        <v>727</v>
      </c>
      <c r="I9" s="144" t="s">
        <v>735</v>
      </c>
    </row>
    <row r="10" customFormat="false" ht="15" hidden="false" customHeight="true" outlineLevel="0" collapsed="false">
      <c r="A10" s="28" t="s">
        <v>736</v>
      </c>
      <c r="B10" s="60" t="n">
        <v>0</v>
      </c>
      <c r="C10" s="60" t="n">
        <v>0</v>
      </c>
      <c r="D10" s="60" t="n">
        <v>0</v>
      </c>
      <c r="E10" s="60" t="n">
        <v>8</v>
      </c>
      <c r="F10" s="60" t="n">
        <v>25</v>
      </c>
      <c r="G10" s="60" t="n">
        <v>15</v>
      </c>
      <c r="H10" s="146" t="s">
        <v>732</v>
      </c>
      <c r="I10" s="144" t="s">
        <v>737</v>
      </c>
    </row>
    <row r="11" customFormat="false" ht="15" hidden="false" customHeight="true" outlineLevel="0" collapsed="false">
      <c r="A11" s="28" t="s">
        <v>738</v>
      </c>
      <c r="B11" s="60" t="n">
        <v>0</v>
      </c>
      <c r="C11" s="60" t="n">
        <v>0</v>
      </c>
      <c r="D11" s="60" t="n">
        <v>0</v>
      </c>
      <c r="E11" s="60" t="n">
        <v>0</v>
      </c>
      <c r="F11" s="60" t="n">
        <v>10</v>
      </c>
      <c r="G11" s="60" t="n">
        <v>5</v>
      </c>
      <c r="H11" s="146" t="s">
        <v>732</v>
      </c>
      <c r="I11" s="144" t="s">
        <v>739</v>
      </c>
    </row>
    <row r="12" customFormat="false" ht="15" hidden="false" customHeight="true" outlineLevel="0" collapsed="false">
      <c r="A12" s="47" t="s">
        <v>740</v>
      </c>
      <c r="B12" s="147" t="n">
        <f aca="false">SUM(B5:B11)</f>
        <v>51</v>
      </c>
      <c r="C12" s="147" t="n">
        <f aca="false">SUM(C5:C11)</f>
        <v>117</v>
      </c>
      <c r="D12" s="147" t="n">
        <f aca="false">SUM(D5:D11)</f>
        <v>233</v>
      </c>
      <c r="E12" s="147" t="n">
        <f aca="false">SUM(E5:E11)</f>
        <v>438</v>
      </c>
      <c r="F12" s="147" t="n">
        <f aca="false">SUM(F5:F11)</f>
        <v>680</v>
      </c>
      <c r="G12" s="147" t="n">
        <f aca="false">SUM(G5:G11)</f>
        <v>800</v>
      </c>
      <c r="H12" s="52"/>
      <c r="I12" s="52"/>
    </row>
    <row r="13" customFormat="false" ht="15" hidden="false" customHeight="true" outlineLevel="0" collapsed="false">
      <c r="A13" s="4" t="s">
        <v>741</v>
      </c>
      <c r="B13" s="148" t="n">
        <f aca="false">B5</f>
        <v>51</v>
      </c>
      <c r="C13" s="148" t="n">
        <f aca="false">C5</f>
        <v>108</v>
      </c>
      <c r="D13" s="148" t="n">
        <f aca="false">D5</f>
        <v>170</v>
      </c>
      <c r="E13" s="148" t="n">
        <f aca="false">E5</f>
        <v>260</v>
      </c>
      <c r="F13" s="148" t="n">
        <f aca="false">F5</f>
        <v>350</v>
      </c>
      <c r="G13" s="148" t="n">
        <f aca="false">G5</f>
        <v>450</v>
      </c>
    </row>
    <row r="14" customFormat="false" ht="15" hidden="false" customHeight="true" outlineLevel="0" collapsed="false">
      <c r="A14" s="4" t="s">
        <v>742</v>
      </c>
      <c r="B14" s="83" t="n">
        <f aca="false">B6+B7+B9</f>
        <v>0</v>
      </c>
      <c r="C14" s="83" t="n">
        <f aca="false">C6+C7+C9</f>
        <v>9</v>
      </c>
      <c r="D14" s="83" t="n">
        <f aca="false">D6+D7+D9</f>
        <v>53</v>
      </c>
      <c r="E14" s="83" t="n">
        <f aca="false">E6+E7+E9</f>
        <v>130</v>
      </c>
      <c r="F14" s="83" t="n">
        <f aca="false">F6+F7+F9</f>
        <v>215</v>
      </c>
      <c r="G14" s="83" t="n">
        <f aca="false">G6+G7+G9</f>
        <v>250</v>
      </c>
    </row>
    <row r="15" customFormat="false" ht="15" hidden="false" customHeight="true" outlineLevel="0" collapsed="false">
      <c r="A15" s="4" t="s">
        <v>743</v>
      </c>
      <c r="B15" s="149" t="n">
        <f aca="false">B8+B10+B11</f>
        <v>0</v>
      </c>
      <c r="C15" s="149" t="n">
        <f aca="false">C8+C10+C11</f>
        <v>0</v>
      </c>
      <c r="D15" s="149" t="n">
        <f aca="false">D8+D10+D11</f>
        <v>10</v>
      </c>
      <c r="E15" s="149" t="n">
        <f aca="false">E8+E10+E11</f>
        <v>48</v>
      </c>
      <c r="F15" s="149" t="n">
        <f aca="false">F8+F10+F11</f>
        <v>115</v>
      </c>
      <c r="G15" s="149" t="n">
        <f aca="false">G8+G10+G11</f>
        <v>100</v>
      </c>
    </row>
    <row r="16" customFormat="false" ht="15" hidden="false" customHeight="true" outlineLevel="0" collapsed="false">
      <c r="A16" s="4" t="s">
        <v>744</v>
      </c>
      <c r="B16" s="148" t="n">
        <f aca="false">'P&amp;L'!D6</f>
        <v>51.01</v>
      </c>
      <c r="C16" s="148" t="n">
        <f aca="false">'P&amp;L'!E6</f>
        <v>103</v>
      </c>
      <c r="D16" s="148" t="n">
        <f aca="false">'P&amp;L'!F6</f>
        <v>198</v>
      </c>
      <c r="E16" s="148" t="n">
        <f aca="false">'P&amp;L'!G6</f>
        <v>335</v>
      </c>
      <c r="F16" s="148" t="n">
        <f aca="false">'P&amp;L'!H6</f>
        <v>500</v>
      </c>
      <c r="G16" s="148" t="n">
        <f aca="false">'P&amp;L'!I6</f>
        <v>650</v>
      </c>
    </row>
    <row r="18" customFormat="false" ht="15" hidden="false" customHeight="true" outlineLevel="0" collapsed="false">
      <c r="A18" s="22" t="s">
        <v>745</v>
      </c>
      <c r="B18" s="22"/>
      <c r="C18" s="22"/>
      <c r="D18" s="22"/>
      <c r="E18" s="22"/>
      <c r="F18" s="22"/>
      <c r="G18" s="22"/>
      <c r="H18" s="22"/>
      <c r="I18" s="22"/>
    </row>
    <row r="19" customFormat="false" ht="15" hidden="false" customHeight="true" outlineLevel="0" collapsed="false">
      <c r="A19" s="22" t="s">
        <v>746</v>
      </c>
      <c r="B19" s="22"/>
      <c r="C19" s="22"/>
      <c r="D19" s="22"/>
      <c r="E19" s="22"/>
      <c r="F19" s="22"/>
      <c r="G19" s="22"/>
      <c r="H19" s="22"/>
      <c r="I19" s="22"/>
    </row>
  </sheetData>
  <mergeCells count="2">
    <mergeCell ref="A18:I18"/>
    <mergeCell ref="A19:I19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2026-05-30T10:56:49Z</dcterms:created>
  <dc:creator>openpyxl</dc:creator>
  <dc:description/>
  <dc:language>en-US</dc:language>
  <cp:lastModifiedBy/>
  <dcterms:modified xsi:type="dcterms:W3CDTF">2026-05-31T06:35:47Z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